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10" yWindow="480" windowWidth="14040" windowHeight="8625" tabRatio="852" firstSheet="26" activeTab="5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Т-во'!$278:$279</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Т-во'!$280:$281</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тарифов'!$121:$177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территорий'!$E$39:$I$39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REESTR_DS!$B$2:$B$10</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тарифов'!$Z$12:$Z$179</definedName>
    <definedName name="DIFFERENTIATION_TARIFF_VD_ID">'Перечень тарифов'!$AB$12:$AB$179</definedName>
    <definedName name="DIFFERENTIATION_TARIFF_VTAR_ID">'Перечень тарифов'!$AA$12:$AA$179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Предложение!$151:$153</definedName>
    <definedName name="OFFER_TARIFF_A_4">Предложение!$215:$217</definedName>
    <definedName name="OFFER_TARIFF_A_5">Предложение!$276:$278</definedName>
    <definedName name="OFFER_TARIFF_A_COLDVSNA_1">Предложение!$51:$53</definedName>
    <definedName name="OFFER_TARIFF_A_COLDVSNA_2">Предложение!$114:$116</definedName>
    <definedName name="OFFER_TARIFF_A_COLDVSNA_3">Предложение!$178:$180</definedName>
    <definedName name="OFFER_TARIFF_A_COLDVSNA_4">Предложение!$242:$244</definedName>
    <definedName name="OFFER_TARIFF_A_COLDVSNA_5">Предложение!$303:$305</definedName>
    <definedName name="OFFER_TARIFF_A_HOTVSNA_1">Предложение!$66:$68</definedName>
    <definedName name="OFFER_TARIFF_A_HOTVSNA_2">Предложение!$129:$131</definedName>
    <definedName name="OFFER_TARIFF_A_HOTVSNA_3">Предложение!$193:$195</definedName>
    <definedName name="OFFER_TARIFF_A_HOTVSNA_4">Предложение!$257:$259</definedName>
    <definedName name="OFFER_TARIFF_A_HOTVSNA_5">Предложение!$318:$320</definedName>
    <definedName name="OFFER_TARIFF_A_VOTV_1">Предложение!$75:$77</definedName>
    <definedName name="OFFER_TARIFF_A_VOTV_2">Предложение!$138:$143</definedName>
    <definedName name="OFFER_TARIFF_A_VOTV_3">Предложение!$202:$207</definedName>
    <definedName name="OFFER_TARIFF_A_VOTV_4">Предложение!$266:$268</definedName>
    <definedName name="OFFER_TARIFF_A_VOTV_5">Предложение!$327:$329</definedName>
    <definedName name="OFFER_TARIFF_B_1">Предложение!$27:$29</definedName>
    <definedName name="OFFER_TARIFF_B_2">Предложение!$90:$92</definedName>
    <definedName name="OFFER_TARIFF_B_3">Предложение!$154:$156</definedName>
    <definedName name="OFFER_TARIFF_B_4">Предложение!$218:$220</definedName>
    <definedName name="OFFER_TARIFF_B_5">Предложение!$279:$281</definedName>
    <definedName name="OFFER_TARIFF_B_COLDVSNA_1">Предложение!$54:$56</definedName>
    <definedName name="OFFER_TARIFF_B_COLDVSNA_2">Предложение!$117:$119</definedName>
    <definedName name="OFFER_TARIFF_B_COLDVSNA_3">Предложение!$181:$183</definedName>
    <definedName name="OFFER_TARIFF_B_COLDVSNA_4">Предложение!$245:$247</definedName>
    <definedName name="OFFER_TARIFF_B_COLDVSNA_5">Предложение!$306:$308</definedName>
    <definedName name="OFFER_TARIFF_B_HOTVSNA_1">Предложение!$69:$71</definedName>
    <definedName name="OFFER_TARIFF_B_HOTVSNA_2">Предложение!$132:$134</definedName>
    <definedName name="OFFER_TARIFF_B_HOTVSNA_3">Предложение!$196:$198</definedName>
    <definedName name="OFFER_TARIFF_B_HOTVSNA_4">Предложение!$260:$262</definedName>
    <definedName name="OFFER_TARIFF_B_HOTVSNA_5">Предложение!$321:$323</definedName>
    <definedName name="OFFER_TARIFF_B_VOTV_1">Предложение!$78:$80</definedName>
    <definedName name="OFFER_TARIFF_B_VOTV_2">Предложение!$144:$146</definedName>
    <definedName name="OFFER_TARIFF_B_VOTV_3">Предложение!$208:$210</definedName>
    <definedName name="OFFER_TARIFF_B_VOTV_4">Предложение!$269:$271</definedName>
    <definedName name="OFFER_TARIFF_B_VOTV_5">Предложение!$330:$332</definedName>
    <definedName name="OFFER_TARIFF_C_1">Предложение!$30:$32</definedName>
    <definedName name="OFFER_TARIFF_C_2">Предложение!$93:$95</definedName>
    <definedName name="OFFER_TARIFF_C_3">Предложение!$157:$159</definedName>
    <definedName name="OFFER_TARIFF_C_4">Предложение!$221:$223</definedName>
    <definedName name="OFFER_TARIFF_C_5">Предложение!$282:$284</definedName>
    <definedName name="OFFER_TARIFF_C_COLDVSNA_1">Предложение!$57:$59</definedName>
    <definedName name="OFFER_TARIFF_C_COLDVSNA_2">Предложение!$120:$122</definedName>
    <definedName name="OFFER_TARIFF_C_COLDVSNA_3">Предложение!$184:$186</definedName>
    <definedName name="OFFER_TARIFF_C_COLDVSNA_4">Предложение!$248:$250</definedName>
    <definedName name="OFFER_TARIFF_C_COLDVSNA_5">Предложение!$309:$311</definedName>
    <definedName name="OFFER_TARIFF_C_HOTVSNA_1">Предложение!$72:$74</definedName>
    <definedName name="OFFER_TARIFF_C_HOTVSNA_2">Предложение!$135:$137</definedName>
    <definedName name="OFFER_TARIFF_C_HOTVSNA_3">Предложение!$199:$201</definedName>
    <definedName name="OFFER_TARIFF_C_HOTVSNA_4">Предложение!$263:$265</definedName>
    <definedName name="OFFER_TARIFF_C_HOTVSNA_5">Предложение!$324:$326</definedName>
    <definedName name="OFFER_TARIFF_C_VOTV_1">Предложение!$81:$83</definedName>
    <definedName name="OFFER_TARIFF_C_VOTV_2">Предложение!$147:$149</definedName>
    <definedName name="OFFER_TARIFF_C_VOTV_3">Предложение!$211:$213</definedName>
    <definedName name="OFFER_TARIFF_C_VOTV_4">Предложение!$272:$274</definedName>
    <definedName name="OFFER_TARIFF_C_VOTV_5">Предложение!$333:$335</definedName>
    <definedName name="OFFER_TARIFF_D_1">Предложение!$33:$35</definedName>
    <definedName name="OFFER_TARIFF_D_2">Предложение!$96:$98</definedName>
    <definedName name="OFFER_TARIFF_D_3">Предложение!$160:$162</definedName>
    <definedName name="OFFER_TARIFF_D_4">Предложение!$224:$226</definedName>
    <definedName name="OFFER_TARIFF_D_5">Предложение!$285:$287</definedName>
    <definedName name="OFFER_TARIFF_D_COLDVSNA_1">Предложение!$60:$62</definedName>
    <definedName name="OFFER_TARIFF_D_COLDVSNA_2">Предложение!$123:$125</definedName>
    <definedName name="OFFER_TARIFF_D_COLDVSNA_3">Предложение!$187:$189</definedName>
    <definedName name="OFFER_TARIFF_D_COLDVSNA_4">Предложение!$251:$253</definedName>
    <definedName name="OFFER_TARIFF_D_COLDVSNA_5">Предложение!$312:$314</definedName>
    <definedName name="OFFER_TARIFF_E_COLDVSNA_1">Предложение!$63:$65</definedName>
    <definedName name="OFFER_TARIFF_E_COLDVSNA_2">Предложение!$126:$128</definedName>
    <definedName name="OFFER_TARIFF_E_COLDVSNA_3">Предложение!$190:$192</definedName>
    <definedName name="OFFER_TARIFF_E_COLDVSNA_4">Предложение!$254:$256</definedName>
    <definedName name="OFFER_TARIFF_E_COLDVSNA_5">Предложение!$315:$317</definedName>
    <definedName name="OFFER_TARIFF_E1_1">Предложение!$36:$38</definedName>
    <definedName name="OFFER_TARIFF_E1_2">Предложение!$99:$101</definedName>
    <definedName name="OFFER_TARIFF_E1_3">Предложение!$163:$165</definedName>
    <definedName name="OFFER_TARIFF_E1_4">Предложение!$227:$229</definedName>
    <definedName name="OFFER_TARIFF_E1_5">Предложение!$288:$290</definedName>
    <definedName name="OFFER_TARIFF_E2_1">Предложение!$39:$41</definedName>
    <definedName name="OFFER_TARIFF_E2_2">Предложение!$102:$104</definedName>
    <definedName name="OFFER_TARIFF_E2_3">Предложение!$166:$168</definedName>
    <definedName name="OFFER_TARIFF_E2_4">Предложение!$230:$232</definedName>
    <definedName name="OFFER_TARIFF_E2_5">Предложение!$291:$293</definedName>
    <definedName name="OFFER_TARIFF_F_1">Предложение!$42:$44</definedName>
    <definedName name="OFFER_TARIFF_F_2">Предложение!$105:$107</definedName>
    <definedName name="OFFER_TARIFF_F_3">Предложение!$169:$171</definedName>
    <definedName name="OFFER_TARIFF_F_4">Предложение!$233:$235</definedName>
    <definedName name="OFFER_TARIFF_F_5">Предложение!$294:$296</definedName>
    <definedName name="OFFER_TARIFF_G_1">Предложение!$45:$47</definedName>
    <definedName name="OFFER_TARIFF_G_2">Предложение!$108:$110</definedName>
    <definedName name="OFFER_TARIFF_G_3">Предложение!$172:$174</definedName>
    <definedName name="OFFER_TARIFF_G_4">Предложение!$236:$238</definedName>
    <definedName name="OFFER_TARIFF_G_5">Предложение!$297:$299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территорий'!$C$12:$C$39</definedName>
    <definedName name="pDel_LT_MO">'Список территорий'!$D$11:$D$39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Предложение!$G$180</definedName>
    <definedName name="pIns_PT_VTAR_A_COLDVSNA_OFFER_4">Предложение!$G$244</definedName>
    <definedName name="pIns_PT_VTAR_A_COLDVSNA_OFFER_5">Предложение!$G$305</definedName>
    <definedName name="pIns_PT_VTAR_A_COLDVSNA_OFFER5">Предложение!$G$305</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Предложение!$G$195</definedName>
    <definedName name="pIns_PT_VTAR_A_HOTVSNA_OFFER_4">Предложение!$G$259</definedName>
    <definedName name="pIns_PT_VTAR_A_HOTVSNA_OFFER_5">Предложение!$G$320</definedName>
    <definedName name="pIns_PT_VTAR_A_OFFER_1">Предложение!$G$26</definedName>
    <definedName name="pIns_PT_VTAR_A_OFFER_2">Предложение!$G$89</definedName>
    <definedName name="pIns_PT_VTAR_A_OFFER_3">Предложение!$G$153</definedName>
    <definedName name="pIns_PT_VTAR_A_OFFER_4">Предложение!$G$217</definedName>
    <definedName name="pIns_PT_VTAR_A_OFFER_5">Предложение!$G$278</definedName>
    <definedName name="pIns_PT_VTAR_A_VOTV">'ВО. Т-во'!$T$277</definedName>
    <definedName name="pIns_PT_VTAR_A_VOTV_OFFER_1">Предложение!$G$77</definedName>
    <definedName name="pIns_PT_VTAR_A_VOTV_OFFER_2">Предложение!$G$143</definedName>
    <definedName name="pIns_PT_VTAR_A_VOTV_OFFER_3">Предложение!$G$207</definedName>
    <definedName name="pIns_PT_VTAR_A_VOTV_OFFER_4">Предложение!$G$268</definedName>
    <definedName name="pIns_PT_VTAR_A_VOTV_OFFER_5">Предложение!$G$329</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Предложение!$G$183</definedName>
    <definedName name="pIns_PT_VTAR_B_COLDVSNA_OFFER_4">Предложение!$G$247</definedName>
    <definedName name="pIns_PT_VTAR_B_COLDVSNA_OFFER_5">Предложение!$G$308</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Предложение!$G$198</definedName>
    <definedName name="pIns_PT_VTAR_B_HOTVSNA_OFFER_4">Предложение!$G$262</definedName>
    <definedName name="pIns_PT_VTAR_B_HOTVSNA_OFFER_5">Предложение!$G$323</definedName>
    <definedName name="pIns_PT_VTAR_B_OFFER_1">Предложение!$G$29</definedName>
    <definedName name="pIns_PT_VTAR_B_OFFER_2">Предложение!$G$92</definedName>
    <definedName name="pIns_PT_VTAR_B_OFFER_3">Предложение!$G$156</definedName>
    <definedName name="pIns_PT_VTAR_B_OFFER_4">Предложение!$G$220</definedName>
    <definedName name="pIns_PT_VTAR_B_OFFER_5">Предложение!$G$281</definedName>
    <definedName name="pIns_PT_VTAR_B_VOTV">'ВО. Т-транс'!$T$53</definedName>
    <definedName name="pIns_PT_VTAR_B_VOTV_OFFER_1">Предложение!$G$80</definedName>
    <definedName name="pIns_PT_VTAR_B_VOTV_OFFER_2">Предложение!$G$146</definedName>
    <definedName name="pIns_PT_VTAR_B_VOTV_OFFER_3">Предложение!$G$210</definedName>
    <definedName name="pIns_PT_VTAR_B_VOTV_OFFER_4">Предложение!$G$271</definedName>
    <definedName name="pIns_PT_VTAR_B_VOTV_OFFER_5">Предложение!$G$332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Предложение!$G$186</definedName>
    <definedName name="pIns_PT_VTAR_C_COLDVSNA_OFFER_4">Предложение!$G$250</definedName>
    <definedName name="pIns_PT_VTAR_C_COLDVSNA_OFFER_5">Предложение!$G$311</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Предложение!$G$201</definedName>
    <definedName name="pIns_PT_VTAR_C_HOTVSNA_OFFER_4">Предложение!$G$265</definedName>
    <definedName name="pIns_PT_VTAR_C_HOTVSNA_OFFER_5">Предложение!$G$326</definedName>
    <definedName name="pIns_PT_VTAR_C_OFFER_1">Предложение!$G$32</definedName>
    <definedName name="pIns_PT_VTAR_C_OFFER_2">Предложение!$G$95</definedName>
    <definedName name="pIns_PT_VTAR_C_OFFER_3">Предложение!$G$159</definedName>
    <definedName name="pIns_PT_VTAR_C_OFFER_4">Предложение!$G$223</definedName>
    <definedName name="pIns_PT_VTAR_C_OFFER_5">Предложение!$G$284</definedName>
    <definedName name="pIns_PT_VTAR_C_VOTV">'ВО. Т-подкл'!$T$63</definedName>
    <definedName name="pIns_PT_VTAR_C_VOTV_OFFER_1">Предложение!$G$83</definedName>
    <definedName name="pIns_PT_VTAR_C_VOTV_OFFER_2">Предложение!$G$149</definedName>
    <definedName name="pIns_PT_VTAR_C_VOTV_OFFER_3">Предложение!$G$213</definedName>
    <definedName name="pIns_PT_VTAR_C_VOTV_OFFER_4">Предложение!$G$274</definedName>
    <definedName name="pIns_PT_VTAR_C_VOTV_OFFER_5">Предложение!$G$335</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Предложение!$G$189</definedName>
    <definedName name="pIns_PT_VTAR_D_COLDVSNA_OFFER_4">Предложение!$G$253</definedName>
    <definedName name="pIns_PT_VTAR_D_COLDVSNA_OFFER_5">Предложение!$G$314</definedName>
    <definedName name="pIns_PT_VTAR_D_OFFER_1">Предложение!$G$35</definedName>
    <definedName name="pIns_PT_VTAR_D_OFFER_2">Предложение!$G$98</definedName>
    <definedName name="pIns_PT_VTAR_D_OFFER_3">Предложение!$G$162</definedName>
    <definedName name="pIns_PT_VTAR_D_OFFER_4">Предложение!$G$226</definedName>
    <definedName name="pIns_PT_VTAR_D_OFFER_5">Предложение!$G$287</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Предложение!$G$192</definedName>
    <definedName name="pIns_PT_VTAR_E_COLDVSNA_OFFER_4">Предложение!$G$256</definedName>
    <definedName name="pIns_PT_VTAR_E_COLDVSNA_OFFER_5">Предложение!$G$317</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Предложение!$G$165</definedName>
    <definedName name="pIns_PT_VTAR_E1_OFFER_4">Предложение!$G$229</definedName>
    <definedName name="pIns_PT_VTAR_E1_OFFER_5">Предложение!$G$290</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Предложение!$G$168</definedName>
    <definedName name="pIns_PT_VTAR_E2_OFFER_4">Предложение!$G$232</definedName>
    <definedName name="pIns_PT_VTAR_E2_OFFER_5">Предложение!$G$293</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Предложение!$G$171</definedName>
    <definedName name="pIns_PT_VTAR_F_OFFER_4">Предложение!$G$235</definedName>
    <definedName name="pIns_PT_VTAR_F_OFFER_5">Предложение!$G$296</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Предложение!$G$174</definedName>
    <definedName name="pIns_PT_VTAR_G_OFFER_4">Предложение!$G$238</definedName>
    <definedName name="pIns_PT_VTAR_G_OFFER_5">Предложение!$G$299</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Предложение!$G$177</definedName>
    <definedName name="pIns_PT_VTAR_H_OFFER_4">Предложение!$G$241</definedName>
    <definedName name="pIns_PT_VTAR_H_OFFER_5">Предложение!$G$302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Т-во'!$BE$37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Т-во'!$55:$66</definedName>
    <definedName name="pt_cs_31">'ВО. Т-во'!$67:$78</definedName>
    <definedName name="pt_cs_32">'ВО. Т-во'!$79:$90</definedName>
    <definedName name="pt_cs_33">'ВО. Т-во'!$91:$102</definedName>
    <definedName name="pt_cs_34">'ВО. Т-во'!$105:$116</definedName>
    <definedName name="pt_cs_35">'ВО. Т-во'!$131:$142</definedName>
    <definedName name="pt_cs_36">'ВО. Т-во'!$145:$156</definedName>
    <definedName name="pt_cs_37">'ВО. Т-во'!$159:$170</definedName>
    <definedName name="pt_cs_38">'ВО. Т-во'!$173:$184</definedName>
    <definedName name="pt_cs_39">'ВО. Т-во'!$185:$196</definedName>
    <definedName name="pt_cs_4">'ТС. Т-гор.вода'!$51:$62</definedName>
    <definedName name="pt_cs_40">'ВО. Т-во'!$199:$210</definedName>
    <definedName name="pt_cs_41">'ВО. Т-во'!$213:$224</definedName>
    <definedName name="pt_cs_42">'ВО. Т-во'!$263:$274</definedName>
    <definedName name="pt_cs_43">'ВО. Т-во'!$225:$236</definedName>
    <definedName name="pt_cs_44">'ВО. Т-во'!$237:$248</definedName>
    <definedName name="pt_cs_45">'ВО. Т-во'!$249:$260</definedName>
    <definedName name="pt_cs_46">'ВО. Т-во'!$117:$128</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тарифов'!$AL$12:$AL$179</definedName>
    <definedName name="PT_DIFFERENTIATION_CS_ID">'Перечень тарифов'!$AF$12:$AF$179</definedName>
    <definedName name="PT_DIFFERENTIATION_IST_TE">'Перечень тарифов'!$AM$12:$AM$179</definedName>
    <definedName name="PT_DIFFERENTIATION_IST_TE_ID">'Перечень тарифов'!$AG$12:$AG$179</definedName>
    <definedName name="PT_DIFFERENTIATION_NTAR">'Перечень тарифов'!$AJ$12:$AJ$179</definedName>
    <definedName name="PT_DIFFERENTIATION_NTAR_ID">'Перечень тарифов'!$AD$12:$AD$179</definedName>
    <definedName name="PT_DIFFERENTIATION_NUM_CS">'Перечень тарифов'!$AP$12:$AP$179</definedName>
    <definedName name="PT_DIFFERENTIATION_NUM_IST_TE">'Перечень тарифов'!$AQ$12:$AQ$179</definedName>
    <definedName name="PT_DIFFERENTIATION_NUM_NTAR">'Перечень тарифов'!$AN$12:$AN$179</definedName>
    <definedName name="PT_DIFFERENTIATION_NUM_TER">'Перечень тарифов'!$AO$12:$AO$179</definedName>
    <definedName name="PT_DIFFERENTIATION_TER">'Перечень тарифов'!$AK$12:$AK$179</definedName>
    <definedName name="PT_DIFFERENTIATION_TER_ID">'Перечень тарифов'!$AE$12:$AE$179</definedName>
    <definedName name="PT_DIFFERENTIATION_VDET">'Перечень тарифов'!$AI$12:$AI$179</definedName>
    <definedName name="PT_DIFFERENTIATION_VTAR">'Перечень тарифов'!$AH$12:$AH$179</definedName>
    <definedName name="PT_DIFFERENTIATION_VTAR_ID">'Перечень тарифов'!$AC$12:$AC$179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Т-во'!$41:$276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Т-во'!$42:$103</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Т-во'!$104:$129</definedName>
    <definedName name="pt_ter_31">'ВО. Т-во'!$130:$143</definedName>
    <definedName name="pt_ter_32">'ВО. Т-во'!$144:$157</definedName>
    <definedName name="pt_ter_33">'ВО. Т-во'!$158:$171</definedName>
    <definedName name="pt_ter_34">'ВО. Т-во'!$172:$197</definedName>
    <definedName name="pt_ter_35">'ВО. Т-во'!$198:$211</definedName>
    <definedName name="pt_ter_36">'ВО. Т-во'!$212:$261</definedName>
    <definedName name="pt_ter_37">'ВО. Т-во'!$262:$275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тарифов'!$W$178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Предложение!$L$336</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Предложение!$L$336</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Т-во'!$BE$278</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территорий'!$E$11:$I$39</definedName>
    <definedName name="TERRITORY_ID">TEHSHEET!$E$56</definedName>
    <definedName name="TERRITORY_LIST_ID">'Список территорий'!$F$11:$F$39</definedName>
    <definedName name="TERRITORY_MO_LIST">'Список территорий'!$H$11:$H$39</definedName>
    <definedName name="TERRITORY_MR_LIST">'Список территорий'!$G$11:$G$39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E130" i="33" s="1"/>
  <c r="N100" i="63"/>
  <c r="M100" i="63"/>
  <c r="K100" i="63"/>
  <c r="J100" i="63"/>
  <c r="I100" i="63"/>
  <c r="L100" i="63" s="1"/>
  <c r="L99" i="63"/>
  <c r="K99" i="63"/>
  <c r="N99" i="63" s="1"/>
  <c r="J99" i="63"/>
  <c r="M99" i="63" s="1"/>
  <c r="I99" i="63"/>
  <c r="N98" i="63"/>
  <c r="K98" i="63"/>
  <c r="J98" i="63"/>
  <c r="M98" i="63" s="1"/>
  <c r="F127" i="33" s="1"/>
  <c r="I98" i="63"/>
  <c r="L98" i="63" s="1"/>
  <c r="N97" i="63"/>
  <c r="L97" i="63"/>
  <c r="K97" i="63"/>
  <c r="J97" i="63"/>
  <c r="M97" i="63" s="1"/>
  <c r="I97" i="63"/>
  <c r="N96" i="63"/>
  <c r="M96" i="63"/>
  <c r="L96" i="63"/>
  <c r="K96" i="63"/>
  <c r="J96" i="63"/>
  <c r="I96" i="63"/>
  <c r="L95" i="63"/>
  <c r="K95" i="63"/>
  <c r="N95" i="63" s="1"/>
  <c r="J95" i="63"/>
  <c r="M95" i="63" s="1"/>
  <c r="I95" i="63"/>
  <c r="N94" i="63"/>
  <c r="K94" i="63"/>
  <c r="J94" i="63"/>
  <c r="M94" i="63" s="1"/>
  <c r="I94" i="63"/>
  <c r="L94" i="63" s="1"/>
  <c r="E117" i="33" s="1"/>
  <c r="N93" i="63"/>
  <c r="L93" i="63"/>
  <c r="K93" i="63"/>
  <c r="J93" i="63"/>
  <c r="M93" i="63" s="1"/>
  <c r="I93" i="63"/>
  <c r="N92" i="63"/>
  <c r="M92" i="63"/>
  <c r="L92" i="63"/>
  <c r="K92" i="63"/>
  <c r="J92" i="63"/>
  <c r="I92" i="63"/>
  <c r="L91" i="63"/>
  <c r="K91" i="63"/>
  <c r="N91" i="63" s="1"/>
  <c r="J114" i="33" s="1"/>
  <c r="J91" i="63"/>
  <c r="M91" i="63" s="1"/>
  <c r="F114" i="33" s="1"/>
  <c r="I91" i="63"/>
  <c r="N90" i="63"/>
  <c r="K90" i="63"/>
  <c r="J90" i="63"/>
  <c r="M90" i="63" s="1"/>
  <c r="I90" i="63"/>
  <c r="L90" i="63" s="1"/>
  <c r="N89" i="63"/>
  <c r="L89" i="63"/>
  <c r="K89" i="63"/>
  <c r="J89" i="63"/>
  <c r="M89" i="63" s="1"/>
  <c r="I89" i="63"/>
  <c r="N88" i="63"/>
  <c r="M88" i="63"/>
  <c r="L88" i="63"/>
  <c r="K88" i="63"/>
  <c r="J88" i="63"/>
  <c r="I88" i="63"/>
  <c r="L87" i="63"/>
  <c r="K87" i="63"/>
  <c r="N87" i="63" s="1"/>
  <c r="J87" i="63"/>
  <c r="M87" i="63" s="1"/>
  <c r="I87" i="63"/>
  <c r="N86" i="63"/>
  <c r="K86" i="63"/>
  <c r="J86" i="63"/>
  <c r="M86" i="63" s="1"/>
  <c r="I86" i="63"/>
  <c r="L86" i="63" s="1"/>
  <c r="E109" i="33" s="1"/>
  <c r="N85" i="63"/>
  <c r="L85" i="63"/>
  <c r="K85" i="63"/>
  <c r="J85" i="63"/>
  <c r="M85" i="63" s="1"/>
  <c r="I85" i="63"/>
  <c r="N84" i="63"/>
  <c r="M84" i="63"/>
  <c r="L84" i="63"/>
  <c r="K84" i="63"/>
  <c r="J84" i="63"/>
  <c r="I84" i="63"/>
  <c r="L83" i="63"/>
  <c r="K83" i="63"/>
  <c r="N83" i="63" s="1"/>
  <c r="J83" i="63"/>
  <c r="M83" i="63" s="1"/>
  <c r="F106" i="33" s="1"/>
  <c r="I83" i="63"/>
  <c r="N82" i="63"/>
  <c r="K82" i="63"/>
  <c r="J82" i="63"/>
  <c r="M82" i="63" s="1"/>
  <c r="I82" i="63"/>
  <c r="L82" i="63" s="1"/>
  <c r="N81" i="63"/>
  <c r="L81" i="63"/>
  <c r="K81" i="63"/>
  <c r="J81" i="63"/>
  <c r="M81" i="63" s="1"/>
  <c r="F104" i="33" s="1"/>
  <c r="I81" i="63"/>
  <c r="N80" i="63"/>
  <c r="M80" i="63"/>
  <c r="L80" i="63"/>
  <c r="K80" i="63"/>
  <c r="J80" i="63"/>
  <c r="I80" i="63"/>
  <c r="L79" i="63"/>
  <c r="K79" i="63"/>
  <c r="N79" i="63" s="1"/>
  <c r="J79" i="63"/>
  <c r="M79" i="63" s="1"/>
  <c r="I79" i="63"/>
  <c r="N78" i="63"/>
  <c r="K78" i="63"/>
  <c r="J78" i="63"/>
  <c r="M78" i="63" s="1"/>
  <c r="I78" i="63"/>
  <c r="L78" i="63" s="1"/>
  <c r="N77" i="63"/>
  <c r="L77" i="63"/>
  <c r="K77" i="63"/>
  <c r="J77" i="63"/>
  <c r="M77" i="63" s="1"/>
  <c r="I77" i="63"/>
  <c r="N76" i="63"/>
  <c r="M76" i="63"/>
  <c r="L76" i="63"/>
  <c r="K76" i="63"/>
  <c r="J76" i="63"/>
  <c r="I76" i="63"/>
  <c r="L75" i="63"/>
  <c r="K75" i="63"/>
  <c r="N75" i="63" s="1"/>
  <c r="J75" i="63"/>
  <c r="M75" i="63" s="1"/>
  <c r="I75" i="63"/>
  <c r="N74" i="63"/>
  <c r="K74" i="63"/>
  <c r="J74" i="63"/>
  <c r="M74" i="63" s="1"/>
  <c r="I74" i="63"/>
  <c r="L74" i="63" s="1"/>
  <c r="N73" i="63"/>
  <c r="L73" i="63"/>
  <c r="K73" i="63"/>
  <c r="J73" i="63"/>
  <c r="M73" i="63" s="1"/>
  <c r="I73" i="63"/>
  <c r="N72" i="63"/>
  <c r="M72" i="63"/>
  <c r="L72" i="63"/>
  <c r="K72" i="63"/>
  <c r="J72" i="63"/>
  <c r="I72" i="63"/>
  <c r="L71" i="63"/>
  <c r="K71" i="63"/>
  <c r="N71" i="63" s="1"/>
  <c r="J71" i="63"/>
  <c r="M71" i="63" s="1"/>
  <c r="I71" i="63"/>
  <c r="N70" i="63"/>
  <c r="K70" i="63"/>
  <c r="J70" i="63"/>
  <c r="M70" i="63" s="1"/>
  <c r="I70" i="63"/>
  <c r="L70" i="63" s="1"/>
  <c r="N69" i="63"/>
  <c r="L69" i="63"/>
  <c r="K69" i="63"/>
  <c r="J69" i="63"/>
  <c r="M69" i="63" s="1"/>
  <c r="I69" i="63"/>
  <c r="N68" i="63"/>
  <c r="M68" i="63"/>
  <c r="L68" i="63"/>
  <c r="K68" i="63"/>
  <c r="J68" i="63"/>
  <c r="I68" i="63"/>
  <c r="L67" i="63"/>
  <c r="K67" i="63"/>
  <c r="N67" i="63" s="1"/>
  <c r="J67" i="63"/>
  <c r="M67" i="63" s="1"/>
  <c r="I67" i="63"/>
  <c r="N66" i="63"/>
  <c r="K66" i="63"/>
  <c r="J66" i="63"/>
  <c r="M66" i="63" s="1"/>
  <c r="I66" i="63"/>
  <c r="L66" i="63" s="1"/>
  <c r="N65" i="63"/>
  <c r="L65" i="63"/>
  <c r="K65" i="63"/>
  <c r="J65" i="63"/>
  <c r="M65" i="63" s="1"/>
  <c r="I65" i="63"/>
  <c r="N64" i="63"/>
  <c r="M64" i="63"/>
  <c r="L64" i="63"/>
  <c r="K64" i="63"/>
  <c r="J64" i="63"/>
  <c r="I64" i="63"/>
  <c r="L63" i="63"/>
  <c r="K63" i="63"/>
  <c r="N63" i="63" s="1"/>
  <c r="J63" i="63"/>
  <c r="M63" i="63" s="1"/>
  <c r="I63" i="63"/>
  <c r="N62" i="63"/>
  <c r="K62" i="63"/>
  <c r="J62" i="63"/>
  <c r="M62" i="63" s="1"/>
  <c r="I62" i="63"/>
  <c r="L62" i="63" s="1"/>
  <c r="N61" i="63"/>
  <c r="L61" i="63"/>
  <c r="K61" i="63"/>
  <c r="J61" i="63"/>
  <c r="M61" i="63" s="1"/>
  <c r="I61" i="63"/>
  <c r="N60" i="63"/>
  <c r="M60" i="63"/>
  <c r="L60" i="63"/>
  <c r="K60" i="63"/>
  <c r="J60" i="63"/>
  <c r="I60" i="63"/>
  <c r="L59" i="63"/>
  <c r="K59" i="63"/>
  <c r="N59" i="63" s="1"/>
  <c r="J80" i="33" s="1"/>
  <c r="J59" i="63"/>
  <c r="M59" i="63" s="1"/>
  <c r="I59" i="63"/>
  <c r="T58" i="63"/>
  <c r="K58" i="63"/>
  <c r="N58" i="63" s="1"/>
  <c r="J58" i="63"/>
  <c r="M58" i="63" s="1"/>
  <c r="I58" i="63"/>
  <c r="L58" i="63" s="1"/>
  <c r="T57" i="63"/>
  <c r="N57" i="63"/>
  <c r="K57" i="63"/>
  <c r="J57" i="63"/>
  <c r="M57" i="63" s="1"/>
  <c r="I57" i="63"/>
  <c r="L57" i="63" s="1"/>
  <c r="T56" i="63"/>
  <c r="M56" i="63"/>
  <c r="K56" i="63"/>
  <c r="N56" i="63" s="1"/>
  <c r="J56" i="63"/>
  <c r="I56" i="63"/>
  <c r="L56" i="63" s="1"/>
  <c r="E77" i="33" s="1"/>
  <c r="T55" i="63"/>
  <c r="N55" i="63"/>
  <c r="L55" i="63"/>
  <c r="K55" i="63"/>
  <c r="J55" i="63"/>
  <c r="M55" i="63" s="1"/>
  <c r="I55" i="63"/>
  <c r="N54" i="63"/>
  <c r="M54" i="63"/>
  <c r="L54" i="63"/>
  <c r="K54" i="63"/>
  <c r="J54" i="63"/>
  <c r="I54" i="63"/>
  <c r="L53" i="63"/>
  <c r="K53" i="63"/>
  <c r="N53" i="63" s="1"/>
  <c r="J53" i="63"/>
  <c r="M53" i="63" s="1"/>
  <c r="I53" i="63"/>
  <c r="N52" i="63"/>
  <c r="K52" i="63"/>
  <c r="J52" i="63"/>
  <c r="M52" i="63" s="1"/>
  <c r="I52" i="63"/>
  <c r="L52" i="63" s="1"/>
  <c r="N51" i="63"/>
  <c r="K51" i="63"/>
  <c r="J51" i="63"/>
  <c r="M51" i="63" s="1"/>
  <c r="I51" i="63"/>
  <c r="L51" i="63" s="1"/>
  <c r="E72" i="33" s="1"/>
  <c r="N50" i="63"/>
  <c r="M50" i="63"/>
  <c r="L50" i="63"/>
  <c r="K50" i="63"/>
  <c r="J50" i="63"/>
  <c r="I50" i="63"/>
  <c r="L49" i="63"/>
  <c r="K49" i="63"/>
  <c r="N49" i="63" s="1"/>
  <c r="J68" i="33" s="1"/>
  <c r="L68" i="33" s="1"/>
  <c r="J49" i="63"/>
  <c r="M49" i="63" s="1"/>
  <c r="I49" i="63"/>
  <c r="K48" i="63"/>
  <c r="N48" i="63" s="1"/>
  <c r="J48" i="63"/>
  <c r="M48" i="63" s="1"/>
  <c r="I48" i="63"/>
  <c r="L48" i="63" s="1"/>
  <c r="N47" i="63"/>
  <c r="M47" i="63"/>
  <c r="K47" i="63"/>
  <c r="J47" i="63"/>
  <c r="I47" i="63"/>
  <c r="L47" i="63" s="1"/>
  <c r="T46" i="63"/>
  <c r="N46" i="63"/>
  <c r="M46" i="63"/>
  <c r="L46" i="63"/>
  <c r="K46" i="63"/>
  <c r="J46" i="63"/>
  <c r="I46" i="63"/>
  <c r="M45" i="63"/>
  <c r="L45" i="63"/>
  <c r="K45" i="63"/>
  <c r="N45" i="63" s="1"/>
  <c r="J45" i="63"/>
  <c r="I45" i="63"/>
  <c r="K44" i="63"/>
  <c r="N44" i="63" s="1"/>
  <c r="J44" i="63"/>
  <c r="M44" i="63" s="1"/>
  <c r="F63" i="33" s="1"/>
  <c r="I44" i="63"/>
  <c r="L44" i="63" s="1"/>
  <c r="N43" i="63"/>
  <c r="K43" i="63"/>
  <c r="J43" i="63"/>
  <c r="M43" i="63" s="1"/>
  <c r="I43" i="63"/>
  <c r="L43" i="63" s="1"/>
  <c r="N42" i="63"/>
  <c r="M42" i="63"/>
  <c r="L42" i="63"/>
  <c r="K42" i="63"/>
  <c r="J42" i="63"/>
  <c r="I42" i="63"/>
  <c r="M41" i="63"/>
  <c r="L41" i="63"/>
  <c r="K41" i="63"/>
  <c r="N41" i="63" s="1"/>
  <c r="J41" i="63"/>
  <c r="I41" i="63"/>
  <c r="K40" i="63"/>
  <c r="N40" i="63" s="1"/>
  <c r="J40" i="63"/>
  <c r="M40" i="63" s="1"/>
  <c r="I40" i="63"/>
  <c r="L40" i="63" s="1"/>
  <c r="N39" i="63"/>
  <c r="K39" i="63"/>
  <c r="J39" i="63"/>
  <c r="M39" i="63" s="1"/>
  <c r="I39" i="63"/>
  <c r="L39" i="63" s="1"/>
  <c r="N38" i="63"/>
  <c r="M38" i="63"/>
  <c r="L38" i="63"/>
  <c r="K38" i="63"/>
  <c r="J38" i="63"/>
  <c r="I38" i="63"/>
  <c r="M37" i="63"/>
  <c r="L37" i="63"/>
  <c r="K37" i="63"/>
  <c r="N37" i="63" s="1"/>
  <c r="J37" i="63"/>
  <c r="I37" i="63"/>
  <c r="K36" i="63"/>
  <c r="N36" i="63" s="1"/>
  <c r="J36" i="63"/>
  <c r="M36" i="63" s="1"/>
  <c r="I36" i="63"/>
  <c r="L36" i="63" s="1"/>
  <c r="T35" i="63"/>
  <c r="K35" i="63"/>
  <c r="N35" i="63" s="1"/>
  <c r="J35" i="63"/>
  <c r="M35" i="63" s="1"/>
  <c r="F54" i="33" s="1"/>
  <c r="I35" i="63"/>
  <c r="L35" i="63" s="1"/>
  <c r="N34" i="63"/>
  <c r="M34" i="63"/>
  <c r="K34" i="63"/>
  <c r="J34" i="63"/>
  <c r="I34" i="63"/>
  <c r="L34" i="63" s="1"/>
  <c r="T33" i="63"/>
  <c r="N33" i="63"/>
  <c r="M33" i="63"/>
  <c r="L33" i="63"/>
  <c r="K33" i="63"/>
  <c r="J33" i="63"/>
  <c r="I33" i="63"/>
  <c r="T32" i="63"/>
  <c r="N32" i="63"/>
  <c r="M32" i="63"/>
  <c r="L32" i="63"/>
  <c r="K32" i="63"/>
  <c r="J32" i="63"/>
  <c r="I32" i="63"/>
  <c r="M31" i="63"/>
  <c r="L31" i="63"/>
  <c r="K31" i="63"/>
  <c r="N31" i="63" s="1"/>
  <c r="J31" i="63"/>
  <c r="I31" i="63"/>
  <c r="K30" i="63"/>
  <c r="N30" i="63" s="1"/>
  <c r="J30" i="63"/>
  <c r="M30" i="63" s="1"/>
  <c r="I30" i="63"/>
  <c r="L30" i="63" s="1"/>
  <c r="T29" i="63"/>
  <c r="N29" i="63"/>
  <c r="K29" i="63"/>
  <c r="J29" i="63"/>
  <c r="M29" i="63" s="1"/>
  <c r="F48" i="33" s="1"/>
  <c r="I29" i="63"/>
  <c r="L29" i="63" s="1"/>
  <c r="N28" i="63"/>
  <c r="M28" i="63"/>
  <c r="L28" i="63"/>
  <c r="K28" i="63"/>
  <c r="J28" i="63"/>
  <c r="I28" i="63"/>
  <c r="N27" i="63"/>
  <c r="M27" i="63"/>
  <c r="L27" i="63"/>
  <c r="K27" i="63"/>
  <c r="J27" i="63"/>
  <c r="I27" i="63"/>
  <c r="T26" i="63"/>
  <c r="L26" i="63"/>
  <c r="K26" i="63"/>
  <c r="N26" i="63" s="1"/>
  <c r="J45" i="33" s="1"/>
  <c r="J26" i="63"/>
  <c r="M26" i="63" s="1"/>
  <c r="I26" i="63"/>
  <c r="K25" i="63"/>
  <c r="N25" i="63" s="1"/>
  <c r="J25" i="63"/>
  <c r="M25" i="63" s="1"/>
  <c r="I25" i="63"/>
  <c r="L25" i="63" s="1"/>
  <c r="N24" i="63"/>
  <c r="M24" i="63"/>
  <c r="K24" i="63"/>
  <c r="J24" i="63"/>
  <c r="I24" i="63"/>
  <c r="L24" i="63" s="1"/>
  <c r="N23" i="63"/>
  <c r="M23" i="63"/>
  <c r="L23" i="63"/>
  <c r="K23" i="63"/>
  <c r="J23" i="63"/>
  <c r="I23" i="63"/>
  <c r="M22" i="63"/>
  <c r="L22" i="63"/>
  <c r="K22" i="63"/>
  <c r="N22" i="63" s="1"/>
  <c r="J22" i="63"/>
  <c r="I22" i="63"/>
  <c r="K21" i="63"/>
  <c r="N21" i="63" s="1"/>
  <c r="J21" i="63"/>
  <c r="M21" i="63" s="1"/>
  <c r="I21" i="63"/>
  <c r="L21" i="63" s="1"/>
  <c r="E33" i="33" s="1"/>
  <c r="N20" i="63"/>
  <c r="M20" i="63"/>
  <c r="K20" i="63"/>
  <c r="J20" i="63"/>
  <c r="I20" i="63"/>
  <c r="L20" i="63" s="1"/>
  <c r="N19" i="63"/>
  <c r="M19" i="63"/>
  <c r="L19" i="63"/>
  <c r="K19" i="63"/>
  <c r="J19" i="63"/>
  <c r="I19" i="63"/>
  <c r="M18" i="63"/>
  <c r="L18" i="63"/>
  <c r="K18" i="63"/>
  <c r="N18" i="63" s="1"/>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L10" i="54" s="1"/>
  <c r="R10" i="54" s="1"/>
  <c r="R2" i="54"/>
  <c r="P2" i="54" a="1"/>
  <c r="P2" i="54" s="1"/>
  <c r="N9" i="53" a="1"/>
  <c r="N9" i="53" s="1"/>
  <c r="J9" i="53"/>
  <c r="P9" i="53" s="1"/>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F29" i="51" s="1"/>
  <c r="G51" i="51"/>
  <c r="I50" i="51"/>
  <c r="I49" i="51"/>
  <c r="I48" i="51"/>
  <c r="I47" i="51"/>
  <c r="I46" i="51"/>
  <c r="K45" i="51"/>
  <c r="I45" i="51"/>
  <c r="G44" i="51"/>
  <c r="H53" i="51" s="1"/>
  <c r="G36" i="51"/>
  <c r="E4" i="62" s="1"/>
  <c r="C4" i="62" s="1"/>
  <c r="F36" i="51"/>
  <c r="F32" i="51"/>
  <c r="E32" i="51"/>
  <c r="E29" i="51"/>
  <c r="L5" i="51"/>
  <c r="L4" i="51"/>
  <c r="L3" i="51"/>
  <c r="L6" i="51" s="1"/>
  <c r="I14" i="50"/>
  <c r="G14" i="50"/>
  <c r="G11" i="50"/>
  <c r="G10" i="50"/>
  <c r="G9" i="50"/>
  <c r="D6" i="50"/>
  <c r="E13" i="49"/>
  <c r="H12" i="49"/>
  <c r="E12" i="49"/>
  <c r="D6" i="49"/>
  <c r="F275" i="48"/>
  <c r="F214" i="48"/>
  <c r="F150" i="48"/>
  <c r="F23" i="48"/>
  <c r="G17" i="48"/>
  <c r="F17" i="48"/>
  <c r="G16" i="48"/>
  <c r="F16" i="48"/>
  <c r="N7" i="48"/>
  <c r="N4" i="48"/>
  <c r="N1" i="48"/>
  <c r="E28" i="47"/>
  <c r="D15" i="47"/>
  <c r="G14" i="46"/>
  <c r="E13" i="46"/>
  <c r="D6" i="46"/>
  <c r="F21" i="45"/>
  <c r="H19" i="45"/>
  <c r="G19" i="45"/>
  <c r="F19" i="45"/>
  <c r="I18" i="45"/>
  <c r="E17" i="45"/>
  <c r="E16" i="45"/>
  <c r="E15" i="45"/>
  <c r="H14" i="45"/>
  <c r="G14" i="45"/>
  <c r="G11" i="45"/>
  <c r="G10" i="45"/>
  <c r="G9" i="45"/>
  <c r="D6" i="45"/>
  <c r="F2" i="45"/>
  <c r="F6" i="44"/>
  <c r="I58" i="43"/>
  <c r="H58" i="43" s="1"/>
  <c r="H57" i="43"/>
  <c r="H56" i="43"/>
  <c r="H55" i="43"/>
  <c r="I54" i="43"/>
  <c r="H54" i="43"/>
  <c r="H53" i="43"/>
  <c r="H52" i="43"/>
  <c r="H51" i="43"/>
  <c r="H50" i="43"/>
  <c r="I49" i="43"/>
  <c r="I48" i="43" s="1"/>
  <c r="H48" i="43" s="1"/>
  <c r="H49" i="43"/>
  <c r="H47" i="43"/>
  <c r="H46" i="43"/>
  <c r="H45" i="43"/>
  <c r="I44" i="43"/>
  <c r="H44" i="43"/>
  <c r="H43" i="43"/>
  <c r="H42" i="43"/>
  <c r="H41" i="43"/>
  <c r="H40" i="43"/>
  <c r="I39" i="43"/>
  <c r="H39" i="43"/>
  <c r="I38" i="43"/>
  <c r="H38"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J129" i="33"/>
  <c r="F129" i="33"/>
  <c r="E129" i="33"/>
  <c r="J128" i="33"/>
  <c r="F128" i="33"/>
  <c r="E128" i="33"/>
  <c r="J127" i="33"/>
  <c r="E127" i="33"/>
  <c r="J126" i="33"/>
  <c r="F126" i="33"/>
  <c r="E126" i="33"/>
  <c r="E124" i="33"/>
  <c r="J123" i="33"/>
  <c r="F123" i="33"/>
  <c r="E123" i="33"/>
  <c r="E121" i="33"/>
  <c r="J120" i="33"/>
  <c r="F120" i="33"/>
  <c r="E120" i="33"/>
  <c r="E118" i="33"/>
  <c r="J117" i="33"/>
  <c r="F117" i="33"/>
  <c r="J116" i="33"/>
  <c r="F116" i="33"/>
  <c r="E116" i="33"/>
  <c r="J115" i="33"/>
  <c r="F115" i="33"/>
  <c r="E115" i="33"/>
  <c r="E114" i="33"/>
  <c r="J113" i="33"/>
  <c r="F113" i="33"/>
  <c r="E113" i="33"/>
  <c r="J112" i="33"/>
  <c r="F112" i="33"/>
  <c r="E112" i="33"/>
  <c r="J111" i="33"/>
  <c r="F111" i="33"/>
  <c r="E111" i="33"/>
  <c r="J110" i="33"/>
  <c r="F110" i="33"/>
  <c r="E110" i="33"/>
  <c r="J109" i="33"/>
  <c r="F109" i="33"/>
  <c r="J108" i="33"/>
  <c r="F108" i="33"/>
  <c r="E108" i="33"/>
  <c r="J107" i="33"/>
  <c r="F107" i="33"/>
  <c r="E107" i="33"/>
  <c r="J106" i="33"/>
  <c r="E106" i="33"/>
  <c r="J105" i="33"/>
  <c r="F105" i="33"/>
  <c r="E105" i="33"/>
  <c r="J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F80" i="33"/>
  <c r="E80" i="33"/>
  <c r="J79" i="33"/>
  <c r="F79" i="33"/>
  <c r="E79" i="33"/>
  <c r="J78" i="33"/>
  <c r="F78" i="33"/>
  <c r="E78" i="33"/>
  <c r="J77" i="33"/>
  <c r="F77" i="33"/>
  <c r="J76" i="33"/>
  <c r="F76" i="33"/>
  <c r="E76" i="33"/>
  <c r="J75" i="33"/>
  <c r="F75" i="33"/>
  <c r="E75" i="33"/>
  <c r="J74" i="33"/>
  <c r="F74" i="33"/>
  <c r="E74" i="33"/>
  <c r="J73" i="33"/>
  <c r="F73" i="33"/>
  <c r="E73" i="33"/>
  <c r="J72" i="33"/>
  <c r="F72" i="33"/>
  <c r="K70" i="33"/>
  <c r="E70" i="33"/>
  <c r="K69" i="33"/>
  <c r="J69" i="33"/>
  <c r="I69" i="33"/>
  <c r="H69" i="33"/>
  <c r="F69" i="33"/>
  <c r="E69" i="33"/>
  <c r="F68" i="33"/>
  <c r="E68" i="33"/>
  <c r="K68" i="33" s="1"/>
  <c r="J67" i="33"/>
  <c r="F67" i="33"/>
  <c r="E67" i="33"/>
  <c r="K67" i="33" s="1"/>
  <c r="K66" i="33"/>
  <c r="J66" i="33"/>
  <c r="L66" i="33" s="1"/>
  <c r="F66" i="33"/>
  <c r="E66" i="33"/>
  <c r="K65" i="33"/>
  <c r="J65" i="33"/>
  <c r="F65" i="33"/>
  <c r="E65" i="33"/>
  <c r="K64" i="33"/>
  <c r="J64" i="33"/>
  <c r="F64" i="33"/>
  <c r="E64" i="33"/>
  <c r="K63" i="33"/>
  <c r="J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E54" i="33"/>
  <c r="K53" i="33"/>
  <c r="J53" i="33"/>
  <c r="F53" i="33"/>
  <c r="E53" i="33"/>
  <c r="K52" i="33"/>
  <c r="J52" i="33"/>
  <c r="F52" i="33"/>
  <c r="E52" i="33"/>
  <c r="K51" i="33"/>
  <c r="J51" i="33"/>
  <c r="F51" i="33"/>
  <c r="E51" i="33"/>
  <c r="K50" i="33"/>
  <c r="J50" i="33"/>
  <c r="F50" i="33"/>
  <c r="E50" i="33"/>
  <c r="K49" i="33"/>
  <c r="J49" i="33"/>
  <c r="F49" i="33"/>
  <c r="E49" i="33"/>
  <c r="K48" i="33"/>
  <c r="J48" i="33"/>
  <c r="E48" i="33"/>
  <c r="K47" i="33"/>
  <c r="J47" i="33"/>
  <c r="F47" i="33"/>
  <c r="E47" i="33"/>
  <c r="K46" i="33"/>
  <c r="J46" i="33"/>
  <c r="F46" i="33"/>
  <c r="E46" i="33"/>
  <c r="K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BI277" i="27"/>
  <c r="BI276" i="27"/>
  <c r="BI275" i="27"/>
  <c r="BI274" i="27"/>
  <c r="BI273" i="27"/>
  <c r="BI272" i="27"/>
  <c r="BI271" i="27"/>
  <c r="AZ271" i="27"/>
  <c r="AS271" i="27"/>
  <c r="AL271" i="27"/>
  <c r="AE271" i="27"/>
  <c r="X271" i="27"/>
  <c r="BI270" i="27"/>
  <c r="BF270" i="27"/>
  <c r="BI269" i="27"/>
  <c r="BI268" i="27"/>
  <c r="BI267" i="27"/>
  <c r="AZ267" i="27"/>
  <c r="AS267" i="27"/>
  <c r="AL267" i="27"/>
  <c r="AE267" i="27"/>
  <c r="X267" i="27"/>
  <c r="BI266" i="27"/>
  <c r="BF266" i="27"/>
  <c r="BI265" i="27"/>
  <c r="BI264" i="27"/>
  <c r="BI263" i="27"/>
  <c r="BI262" i="27"/>
  <c r="BI261" i="27"/>
  <c r="BI260" i="27"/>
  <c r="BI259" i="27"/>
  <c r="BI258" i="27"/>
  <c r="BI257" i="27"/>
  <c r="AZ257" i="27"/>
  <c r="AS257" i="27"/>
  <c r="AL257" i="27"/>
  <c r="AE257" i="27"/>
  <c r="X257" i="27"/>
  <c r="BI256" i="27"/>
  <c r="BF256" i="27"/>
  <c r="BI255" i="27"/>
  <c r="BI254" i="27"/>
  <c r="BI253" i="27"/>
  <c r="AZ253" i="27"/>
  <c r="AS253" i="27"/>
  <c r="AL253" i="27"/>
  <c r="AE253" i="27"/>
  <c r="X253" i="27"/>
  <c r="BI252" i="27"/>
  <c r="BF252" i="27"/>
  <c r="BI251" i="27"/>
  <c r="BI250" i="27"/>
  <c r="BI249" i="27"/>
  <c r="BI248" i="27"/>
  <c r="BI247" i="27"/>
  <c r="BI246" i="27"/>
  <c r="BI245" i="27"/>
  <c r="AZ245" i="27"/>
  <c r="AS245" i="27"/>
  <c r="AL245" i="27"/>
  <c r="AE245" i="27"/>
  <c r="X245" i="27"/>
  <c r="BI244" i="27"/>
  <c r="BF244" i="27"/>
  <c r="BI243" i="27"/>
  <c r="BI242" i="27"/>
  <c r="BI241" i="27"/>
  <c r="AZ241" i="27"/>
  <c r="AS241" i="27"/>
  <c r="AL241" i="27"/>
  <c r="AE241" i="27"/>
  <c r="X241" i="27"/>
  <c r="BI240" i="27"/>
  <c r="BF240" i="27"/>
  <c r="BI239" i="27"/>
  <c r="BI238" i="27"/>
  <c r="BI237" i="27"/>
  <c r="BI236" i="27"/>
  <c r="BI235" i="27"/>
  <c r="BI234" i="27"/>
  <c r="BI233" i="27"/>
  <c r="AZ233" i="27"/>
  <c r="AS233" i="27"/>
  <c r="AL233" i="27"/>
  <c r="AE233" i="27"/>
  <c r="X233" i="27"/>
  <c r="BI232" i="27"/>
  <c r="BF232" i="27"/>
  <c r="BI231" i="27"/>
  <c r="BI230" i="27"/>
  <c r="BI229" i="27"/>
  <c r="AZ229" i="27"/>
  <c r="AS229" i="27"/>
  <c r="AL229" i="27"/>
  <c r="AE229" i="27"/>
  <c r="X229" i="27"/>
  <c r="BI228" i="27"/>
  <c r="BF228" i="27"/>
  <c r="BI227" i="27"/>
  <c r="BI226" i="27"/>
  <c r="BI225" i="27"/>
  <c r="BI224" i="27"/>
  <c r="BI223" i="27"/>
  <c r="BI222" i="27"/>
  <c r="BI221" i="27"/>
  <c r="AZ221" i="27"/>
  <c r="AS221" i="27"/>
  <c r="AL221" i="27"/>
  <c r="AE221" i="27"/>
  <c r="X221" i="27"/>
  <c r="BI220" i="27"/>
  <c r="BF220" i="27"/>
  <c r="BI219" i="27"/>
  <c r="BI218" i="27"/>
  <c r="BI217" i="27"/>
  <c r="AZ217" i="27"/>
  <c r="AS217" i="27"/>
  <c r="AL217" i="27"/>
  <c r="AE217" i="27"/>
  <c r="X217" i="27"/>
  <c r="BI216" i="27"/>
  <c r="BF216" i="27"/>
  <c r="BI215" i="27"/>
  <c r="BI214" i="27"/>
  <c r="BI213" i="27"/>
  <c r="BI212" i="27"/>
  <c r="BI211" i="27"/>
  <c r="BI210" i="27"/>
  <c r="BI209" i="27"/>
  <c r="BI208" i="27"/>
  <c r="BI207" i="27"/>
  <c r="AZ207" i="27"/>
  <c r="AS207" i="27"/>
  <c r="AL207" i="27"/>
  <c r="AE207" i="27"/>
  <c r="X207" i="27"/>
  <c r="BI206" i="27"/>
  <c r="BF206" i="27"/>
  <c r="BI205" i="27"/>
  <c r="BI204" i="27"/>
  <c r="BI203" i="27"/>
  <c r="AZ203" i="27"/>
  <c r="AS203" i="27"/>
  <c r="AL203" i="27"/>
  <c r="AE203" i="27"/>
  <c r="X203" i="27"/>
  <c r="BI202" i="27"/>
  <c r="BF202" i="27"/>
  <c r="BI201" i="27"/>
  <c r="BI200" i="27"/>
  <c r="BI199" i="27"/>
  <c r="BI198" i="27"/>
  <c r="BI197" i="27"/>
  <c r="BI196" i="27"/>
  <c r="BI195" i="27"/>
  <c r="BI194" i="27"/>
  <c r="BI193" i="27"/>
  <c r="AZ193" i="27"/>
  <c r="AS193" i="27"/>
  <c r="AL193" i="27"/>
  <c r="AE193" i="27"/>
  <c r="X193" i="27"/>
  <c r="BI192" i="27"/>
  <c r="BF192" i="27"/>
  <c r="BI191" i="27"/>
  <c r="BI190" i="27"/>
  <c r="BI189" i="27"/>
  <c r="AZ189" i="27"/>
  <c r="AS189" i="27"/>
  <c r="AL189" i="27"/>
  <c r="AE189" i="27"/>
  <c r="X189" i="27"/>
  <c r="BI188" i="27"/>
  <c r="BF188" i="27"/>
  <c r="BI187" i="27"/>
  <c r="BI186" i="27"/>
  <c r="BI185" i="27"/>
  <c r="BI184" i="27"/>
  <c r="BI183" i="27"/>
  <c r="BI182" i="27"/>
  <c r="BI181" i="27"/>
  <c r="AZ181" i="27"/>
  <c r="AS181" i="27"/>
  <c r="AL181" i="27"/>
  <c r="AE181" i="27"/>
  <c r="X181" i="27"/>
  <c r="BI180" i="27"/>
  <c r="BF180" i="27"/>
  <c r="BI179" i="27"/>
  <c r="BI178" i="27"/>
  <c r="BI177" i="27"/>
  <c r="AZ177" i="27"/>
  <c r="AS177" i="27"/>
  <c r="AL177" i="27"/>
  <c r="AE177" i="27"/>
  <c r="X177" i="27"/>
  <c r="BI176" i="27"/>
  <c r="BF176" i="27"/>
  <c r="BI175" i="27"/>
  <c r="BI174" i="27"/>
  <c r="BI173" i="27"/>
  <c r="BI172" i="27"/>
  <c r="BI171" i="27"/>
  <c r="BI170" i="27"/>
  <c r="BI169" i="27"/>
  <c r="BI168" i="27"/>
  <c r="BI167" i="27"/>
  <c r="AZ167" i="27"/>
  <c r="AS167" i="27"/>
  <c r="AL167" i="27"/>
  <c r="AE167" i="27"/>
  <c r="X167" i="27"/>
  <c r="BI166" i="27"/>
  <c r="BF166" i="27"/>
  <c r="BI165" i="27"/>
  <c r="BI164" i="27"/>
  <c r="BI163" i="27"/>
  <c r="AZ163" i="27"/>
  <c r="AS163" i="27"/>
  <c r="AL163" i="27"/>
  <c r="AE163" i="27"/>
  <c r="X163" i="27"/>
  <c r="BI162" i="27"/>
  <c r="BF162" i="27"/>
  <c r="BI161" i="27"/>
  <c r="BI160" i="27"/>
  <c r="BI159" i="27"/>
  <c r="BI158" i="27"/>
  <c r="BI157" i="27"/>
  <c r="BI156" i="27"/>
  <c r="BI155" i="27"/>
  <c r="BI154" i="27"/>
  <c r="BI153" i="27"/>
  <c r="AZ153" i="27"/>
  <c r="AS153" i="27"/>
  <c r="AL153" i="27"/>
  <c r="AE153" i="27"/>
  <c r="X153" i="27"/>
  <c r="BI152" i="27"/>
  <c r="BF152" i="27"/>
  <c r="BI151" i="27"/>
  <c r="BI150" i="27"/>
  <c r="BI149" i="27"/>
  <c r="AZ149" i="27"/>
  <c r="AS149" i="27"/>
  <c r="AL149" i="27"/>
  <c r="AE149" i="27"/>
  <c r="X149" i="27"/>
  <c r="BI148" i="27"/>
  <c r="BF148" i="27"/>
  <c r="BI147" i="27"/>
  <c r="BI146" i="27"/>
  <c r="BI145" i="27"/>
  <c r="BI144" i="27"/>
  <c r="BI143" i="27"/>
  <c r="BI142" i="27"/>
  <c r="BI141" i="27"/>
  <c r="BI140" i="27"/>
  <c r="BI139" i="27"/>
  <c r="AZ139" i="27"/>
  <c r="AS139" i="27"/>
  <c r="AL139" i="27"/>
  <c r="AE139" i="27"/>
  <c r="X139" i="27"/>
  <c r="BI138" i="27"/>
  <c r="BF138" i="27"/>
  <c r="BI137" i="27"/>
  <c r="BI136" i="27"/>
  <c r="BI135" i="27"/>
  <c r="AZ135" i="27"/>
  <c r="AS135" i="27"/>
  <c r="AL135" i="27"/>
  <c r="AE135" i="27"/>
  <c r="X135" i="27"/>
  <c r="BI134" i="27"/>
  <c r="BF134" i="27"/>
  <c r="BI133" i="27"/>
  <c r="BI132" i="27"/>
  <c r="BI131" i="27"/>
  <c r="BI130" i="27"/>
  <c r="BI129" i="27"/>
  <c r="BI128" i="27"/>
  <c r="BI127" i="27"/>
  <c r="BI126" i="27"/>
  <c r="BI125" i="27"/>
  <c r="AZ125" i="27"/>
  <c r="AS125" i="27"/>
  <c r="AL125" i="27"/>
  <c r="AE125" i="27"/>
  <c r="X125" i="27"/>
  <c r="BI124" i="27"/>
  <c r="BF124" i="27"/>
  <c r="BI123" i="27"/>
  <c r="BI122" i="27"/>
  <c r="BI121" i="27"/>
  <c r="AZ121" i="27"/>
  <c r="AS121" i="27"/>
  <c r="AL121" i="27"/>
  <c r="AE121" i="27"/>
  <c r="X121" i="27"/>
  <c r="BI120" i="27"/>
  <c r="BF120" i="27"/>
  <c r="BI119" i="27"/>
  <c r="BI118" i="27"/>
  <c r="BI117" i="27"/>
  <c r="BI116" i="27"/>
  <c r="BI115" i="27"/>
  <c r="BI114" i="27"/>
  <c r="BI113" i="27"/>
  <c r="AZ113" i="27"/>
  <c r="AS113" i="27"/>
  <c r="AL113" i="27"/>
  <c r="AE113" i="27"/>
  <c r="X113" i="27"/>
  <c r="BI112" i="27"/>
  <c r="BF112" i="27"/>
  <c r="BI111" i="27"/>
  <c r="BI110" i="27"/>
  <c r="BI109" i="27"/>
  <c r="AZ109" i="27"/>
  <c r="AS109" i="27"/>
  <c r="AL109" i="27"/>
  <c r="AE109" i="27"/>
  <c r="X109" i="27"/>
  <c r="BI108" i="27"/>
  <c r="BF108" i="27"/>
  <c r="BI107" i="27"/>
  <c r="BI106" i="27"/>
  <c r="BI105" i="27"/>
  <c r="BI104" i="27"/>
  <c r="BI103" i="27"/>
  <c r="BI102" i="27"/>
  <c r="BI101" i="27"/>
  <c r="BI100" i="27"/>
  <c r="BI99" i="27"/>
  <c r="AZ99" i="27"/>
  <c r="AS99" i="27"/>
  <c r="AL99" i="27"/>
  <c r="AE99" i="27"/>
  <c r="X99" i="27"/>
  <c r="BI98" i="27"/>
  <c r="BF98" i="27"/>
  <c r="BI97" i="27"/>
  <c r="BI96" i="27"/>
  <c r="BI95" i="27"/>
  <c r="AZ95" i="27"/>
  <c r="AS95" i="27"/>
  <c r="AL95" i="27"/>
  <c r="AE95" i="27"/>
  <c r="X95" i="27"/>
  <c r="BI94" i="27"/>
  <c r="BF94" i="27"/>
  <c r="BI93" i="27"/>
  <c r="BI92" i="27"/>
  <c r="BI91" i="27"/>
  <c r="BI90" i="27"/>
  <c r="BI89" i="27"/>
  <c r="BI88" i="27"/>
  <c r="BI87" i="27"/>
  <c r="AZ87" i="27"/>
  <c r="AS87" i="27"/>
  <c r="AL87" i="27"/>
  <c r="AE87" i="27"/>
  <c r="X87" i="27"/>
  <c r="BI86" i="27"/>
  <c r="BF86" i="27"/>
  <c r="BI85" i="27"/>
  <c r="BI84" i="27"/>
  <c r="BI83" i="27"/>
  <c r="AZ83" i="27"/>
  <c r="AS83" i="27"/>
  <c r="AL83" i="27"/>
  <c r="AE83" i="27"/>
  <c r="X83" i="27"/>
  <c r="BI82" i="27"/>
  <c r="BF82" i="27"/>
  <c r="BI81" i="27"/>
  <c r="BI80" i="27"/>
  <c r="BI79" i="27"/>
  <c r="BI78" i="27"/>
  <c r="BI77" i="27"/>
  <c r="BI76" i="27"/>
  <c r="BI75" i="27"/>
  <c r="AZ75" i="27"/>
  <c r="AS75" i="27"/>
  <c r="AL75" i="27"/>
  <c r="AE75" i="27"/>
  <c r="X75" i="27"/>
  <c r="BI74" i="27"/>
  <c r="BF74" i="27"/>
  <c r="BI73" i="27"/>
  <c r="BI72" i="27"/>
  <c r="BI71" i="27"/>
  <c r="AZ71" i="27"/>
  <c r="AS71" i="27"/>
  <c r="AL71" i="27"/>
  <c r="AE71" i="27"/>
  <c r="X71" i="27"/>
  <c r="BI70" i="27"/>
  <c r="BF70" i="27"/>
  <c r="BI69" i="27"/>
  <c r="BI68" i="27"/>
  <c r="BI67" i="27"/>
  <c r="BI66" i="27"/>
  <c r="BI65" i="27"/>
  <c r="BI64" i="27"/>
  <c r="BI63" i="27"/>
  <c r="AZ63" i="27"/>
  <c r="AS63" i="27"/>
  <c r="AL63" i="27"/>
  <c r="AE63" i="27"/>
  <c r="X63" i="27"/>
  <c r="BI62" i="27"/>
  <c r="BF62" i="27"/>
  <c r="BI61" i="27"/>
  <c r="BI60" i="27"/>
  <c r="BI59" i="27"/>
  <c r="AZ59" i="27"/>
  <c r="AS59" i="27"/>
  <c r="AL59" i="27"/>
  <c r="AE59" i="27"/>
  <c r="X59" i="27"/>
  <c r="BI58" i="27"/>
  <c r="BF58" i="27"/>
  <c r="BI57" i="27"/>
  <c r="BI56" i="27"/>
  <c r="BI55" i="27"/>
  <c r="BI54" i="27"/>
  <c r="BI53" i="27"/>
  <c r="BI52" i="27"/>
  <c r="BI51" i="27"/>
  <c r="AZ51" i="27"/>
  <c r="AS51" i="27"/>
  <c r="AL51" i="27"/>
  <c r="AE51" i="27"/>
  <c r="X51" i="27"/>
  <c r="BI50" i="27"/>
  <c r="BF50" i="27"/>
  <c r="BI49" i="27"/>
  <c r="BI48" i="27"/>
  <c r="BI47" i="27"/>
  <c r="AZ47" i="27"/>
  <c r="AS47" i="27"/>
  <c r="AL47" i="27"/>
  <c r="AE47" i="27"/>
  <c r="X47" i="27"/>
  <c r="BI46" i="27"/>
  <c r="BF46" i="27"/>
  <c r="BI45" i="27"/>
  <c r="BI44" i="27"/>
  <c r="BI43" i="27"/>
  <c r="BI42" i="27"/>
  <c r="BI41" i="27"/>
  <c r="BF41" i="27"/>
  <c r="V40" i="27"/>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U40" i="27"/>
  <c r="AX33" i="27"/>
  <c r="AQ33" i="27"/>
  <c r="AJ33" i="27"/>
  <c r="AC33" i="27"/>
  <c r="V33" i="27"/>
  <c r="AX32" i="27"/>
  <c r="AQ32" i="27"/>
  <c r="AJ32" i="27"/>
  <c r="AC32" i="27"/>
  <c r="V32" i="27"/>
  <c r="AX30" i="27"/>
  <c r="AQ30" i="27"/>
  <c r="AJ30" i="27"/>
  <c r="AC30" i="27"/>
  <c r="V30" i="27"/>
  <c r="AX29" i="27"/>
  <c r="AQ29" i="27"/>
  <c r="AJ29" i="27"/>
  <c r="AC29" i="27"/>
  <c r="V29" i="27"/>
  <c r="AX28" i="27"/>
  <c r="AQ28" i="27"/>
  <c r="AJ28" i="27"/>
  <c r="AC28" i="27"/>
  <c r="V28" i="27"/>
  <c r="AX27" i="27"/>
  <c r="AQ27" i="27"/>
  <c r="AJ27" i="27"/>
  <c r="AC27" i="27"/>
  <c r="V27" i="27"/>
  <c r="S25" i="27"/>
  <c r="S24" i="27"/>
  <c r="AE16" i="27"/>
  <c r="BI13" i="27"/>
  <c r="BI12" i="27"/>
  <c r="BI11" i="27"/>
  <c r="BI10" i="27"/>
  <c r="BI9" i="27"/>
  <c r="BI8" i="27"/>
  <c r="AZ8" i="27"/>
  <c r="AS8" i="27"/>
  <c r="AL8" i="27"/>
  <c r="AE8" i="27"/>
  <c r="X8" i="27"/>
  <c r="BI7" i="27"/>
  <c r="BF7" i="27"/>
  <c r="K7" i="27"/>
  <c r="S7" i="27" s="1"/>
  <c r="BI6" i="27"/>
  <c r="S6" i="27"/>
  <c r="BI5" i="27"/>
  <c r="I5" i="27"/>
  <c r="J6" i="27" s="1"/>
  <c r="BI4" i="27"/>
  <c r="AC4" i="27"/>
  <c r="S4" i="27"/>
  <c r="BI3" i="27"/>
  <c r="AC3" i="27"/>
  <c r="S3" i="27"/>
  <c r="BI2" i="27"/>
  <c r="BF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AA41" i="25"/>
  <c r="V41" i="25"/>
  <c r="W41" i="25" s="1"/>
  <c r="X41" i="25" s="1"/>
  <c r="Y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AB40" i="22"/>
  <c r="AC40" i="22" s="1"/>
  <c r="AD40" i="22" s="1"/>
  <c r="AE40" i="22" s="1"/>
  <c r="AF40" i="22" s="1"/>
  <c r="AG40" i="22" s="1"/>
  <c r="AI40" i="22" s="1"/>
  <c r="AJ40" i="22" s="1"/>
  <c r="AK40" i="22" s="1"/>
  <c r="V40" i="22"/>
  <c r="W40" i="22" s="1"/>
  <c r="X40" i="22" s="1"/>
  <c r="Y40" i="22" s="1"/>
  <c r="Z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AN5" i="21"/>
  <c r="AN4" i="21"/>
  <c r="AC4" i="21"/>
  <c r="S4" i="21"/>
  <c r="I5" i="21" s="1"/>
  <c r="J6" i="21" s="1"/>
  <c r="S6" i="21" s="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U8" i="19" s="1"/>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S48" i="18"/>
  <c r="AP47" i="18"/>
  <c r="AP46" i="18"/>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P43" i="17"/>
  <c r="AM43" i="17"/>
  <c r="AI42" i="17"/>
  <c r="AK42" i="17" s="1"/>
  <c r="AL42" i="17" s="1"/>
  <c r="AM42" i="17" s="1"/>
  <c r="AF42" i="17"/>
  <c r="AG42" i="17" s="1"/>
  <c r="AH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H42" i="16"/>
  <c r="AI42" i="16" s="1"/>
  <c r="AK42" i="16" s="1"/>
  <c r="AL42" i="16" s="1"/>
  <c r="AM42" i="16" s="1"/>
  <c r="AF42" i="16"/>
  <c r="AG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S7" i="15" s="1"/>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G42" i="13"/>
  <c r="AH42" i="13" s="1"/>
  <c r="AI42" i="13" s="1"/>
  <c r="AK42" i="13" s="1"/>
  <c r="AL42" i="13" s="1"/>
  <c r="AM42" i="13" s="1"/>
  <c r="AF42" i="13"/>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S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73" i="5"/>
  <c r="AP173" i="5"/>
  <c r="S48" i="29" s="1"/>
  <c r="K52" i="29" s="1"/>
  <c r="S52" i="29" s="1"/>
  <c r="AO173" i="5"/>
  <c r="S47" i="29" s="1"/>
  <c r="AN173" i="5"/>
  <c r="S46" i="29" s="1"/>
  <c r="AM173" i="5"/>
  <c r="AL173" i="5"/>
  <c r="AD48" i="29" s="1"/>
  <c r="AK173" i="5"/>
  <c r="AD47" i="29" s="1"/>
  <c r="AJ173" i="5"/>
  <c r="AI173" i="5"/>
  <c r="AH173" i="5"/>
  <c r="AQ168" i="5"/>
  <c r="AP168" i="5"/>
  <c r="S43" i="28" s="1"/>
  <c r="I44" i="28" s="1"/>
  <c r="AO168" i="5"/>
  <c r="S42" i="28" s="1"/>
  <c r="AN168" i="5"/>
  <c r="S41" i="28" s="1"/>
  <c r="AM168" i="5"/>
  <c r="AL168" i="5"/>
  <c r="AC43" i="28" s="1"/>
  <c r="AK168" i="5"/>
  <c r="AC42" i="28" s="1"/>
  <c r="AJ168" i="5"/>
  <c r="AI168" i="5"/>
  <c r="AH168" i="5"/>
  <c r="AP163" i="5"/>
  <c r="S263" i="27" s="1"/>
  <c r="I264" i="27" s="1"/>
  <c r="AO163" i="5"/>
  <c r="S262" i="27" s="1"/>
  <c r="AN163" i="5"/>
  <c r="AL163" i="5"/>
  <c r="AC263" i="27" s="1"/>
  <c r="AJ163" i="5"/>
  <c r="AI163" i="5"/>
  <c r="AH163" i="5"/>
  <c r="AP160" i="5"/>
  <c r="S249" i="27" s="1"/>
  <c r="I250" i="27" s="1"/>
  <c r="AO160" i="5"/>
  <c r="AN160" i="5"/>
  <c r="AL160" i="5"/>
  <c r="AC249" i="27" s="1"/>
  <c r="AJ160" i="5"/>
  <c r="AH160" i="5"/>
  <c r="AP158" i="5"/>
  <c r="S237" i="27" s="1"/>
  <c r="I238" i="27" s="1"/>
  <c r="AO158" i="5"/>
  <c r="AN158" i="5"/>
  <c r="AL158" i="5"/>
  <c r="AC237" i="27" s="1"/>
  <c r="AJ158" i="5"/>
  <c r="AH158" i="5"/>
  <c r="AP156" i="5"/>
  <c r="S225" i="27" s="1"/>
  <c r="I226" i="27" s="1"/>
  <c r="AO156" i="5"/>
  <c r="AN156" i="5"/>
  <c r="AL156" i="5"/>
  <c r="AC225" i="27" s="1"/>
  <c r="AJ156" i="5"/>
  <c r="AH156" i="5"/>
  <c r="AP154" i="5"/>
  <c r="S213" i="27" s="1"/>
  <c r="I214" i="27" s="1"/>
  <c r="AO154" i="5"/>
  <c r="S212" i="27" s="1"/>
  <c r="AN154" i="5"/>
  <c r="AL154" i="5"/>
  <c r="AC213" i="27" s="1"/>
  <c r="AJ154" i="5"/>
  <c r="AH154" i="5"/>
  <c r="AP151" i="5"/>
  <c r="S199" i="27" s="1"/>
  <c r="I200" i="27" s="1"/>
  <c r="AO151" i="5"/>
  <c r="S198" i="27" s="1"/>
  <c r="AN151" i="5"/>
  <c r="AL151" i="5"/>
  <c r="AC199" i="27" s="1"/>
  <c r="AJ151" i="5"/>
  <c r="AH151" i="5"/>
  <c r="AP148" i="5"/>
  <c r="S185" i="27" s="1"/>
  <c r="I186" i="27" s="1"/>
  <c r="AO148" i="5"/>
  <c r="AN148" i="5"/>
  <c r="AL148" i="5"/>
  <c r="AC185" i="27" s="1"/>
  <c r="AJ148" i="5"/>
  <c r="AI148" i="5"/>
  <c r="AH148" i="5"/>
  <c r="AP146" i="5"/>
  <c r="S173" i="27" s="1"/>
  <c r="I174" i="27" s="1"/>
  <c r="AO146" i="5"/>
  <c r="S172" i="27" s="1"/>
  <c r="AN146" i="5"/>
  <c r="AL146" i="5"/>
  <c r="AC173" i="27" s="1"/>
  <c r="AJ146" i="5"/>
  <c r="AI146" i="5"/>
  <c r="AH146" i="5"/>
  <c r="AP143" i="5"/>
  <c r="S159" i="27" s="1"/>
  <c r="I160" i="27" s="1"/>
  <c r="AO143" i="5"/>
  <c r="S158" i="27" s="1"/>
  <c r="AN143" i="5"/>
  <c r="AL143" i="5"/>
  <c r="AC159" i="27" s="1"/>
  <c r="AJ143" i="5"/>
  <c r="AI143" i="5"/>
  <c r="AH143" i="5"/>
  <c r="AP140" i="5"/>
  <c r="S145" i="27" s="1"/>
  <c r="I146" i="27" s="1"/>
  <c r="AO140" i="5"/>
  <c r="S144" i="27" s="1"/>
  <c r="AN140" i="5"/>
  <c r="AL140" i="5"/>
  <c r="AC145" i="27" s="1"/>
  <c r="AJ140" i="5"/>
  <c r="AH140" i="5"/>
  <c r="AP137" i="5"/>
  <c r="S131" i="27" s="1"/>
  <c r="I132" i="27" s="1"/>
  <c r="AO137" i="5"/>
  <c r="S130" i="27" s="1"/>
  <c r="AN137" i="5"/>
  <c r="AL137" i="5"/>
  <c r="AC131" i="27" s="1"/>
  <c r="AJ137" i="5"/>
  <c r="AI137" i="5"/>
  <c r="AH137" i="5"/>
  <c r="AP134" i="5"/>
  <c r="S117" i="27" s="1"/>
  <c r="I118" i="27" s="1"/>
  <c r="AO134" i="5"/>
  <c r="AN134" i="5"/>
  <c r="AL134" i="5"/>
  <c r="AC117" i="27" s="1"/>
  <c r="AJ134" i="5"/>
  <c r="AI134" i="5"/>
  <c r="AH134" i="5"/>
  <c r="AP132" i="5"/>
  <c r="S105" i="27" s="1"/>
  <c r="I106" i="27" s="1"/>
  <c r="S106" i="27" s="1"/>
  <c r="AO132" i="5"/>
  <c r="S104" i="27" s="1"/>
  <c r="AN132" i="5"/>
  <c r="AL132" i="5"/>
  <c r="AC105" i="27" s="1"/>
  <c r="AJ132" i="5"/>
  <c r="AI132" i="5"/>
  <c r="AH132" i="5"/>
  <c r="AP129" i="5"/>
  <c r="S91" i="27" s="1"/>
  <c r="I92" i="27" s="1"/>
  <c r="AO129" i="5"/>
  <c r="AN129" i="5"/>
  <c r="AL129" i="5"/>
  <c r="AC91" i="27" s="1"/>
  <c r="AJ129" i="5"/>
  <c r="AI129" i="5"/>
  <c r="AH129" i="5"/>
  <c r="AP127" i="5"/>
  <c r="S79" i="27" s="1"/>
  <c r="I80" i="27" s="1"/>
  <c r="AO127" i="5"/>
  <c r="AN127" i="5"/>
  <c r="AL127" i="5"/>
  <c r="AC79" i="27" s="1"/>
  <c r="AJ127" i="5"/>
  <c r="AI127" i="5"/>
  <c r="AH127" i="5"/>
  <c r="AP125" i="5"/>
  <c r="S67" i="27" s="1"/>
  <c r="I68" i="27" s="1"/>
  <c r="AO125" i="5"/>
  <c r="AN125" i="5"/>
  <c r="AL125" i="5"/>
  <c r="AC67" i="27" s="1"/>
  <c r="AJ125" i="5"/>
  <c r="AI125" i="5"/>
  <c r="AH125" i="5"/>
  <c r="AP123" i="5"/>
  <c r="S55" i="27" s="1"/>
  <c r="I56" i="27" s="1"/>
  <c r="AO123" i="5"/>
  <c r="AN123" i="5"/>
  <c r="AL123" i="5"/>
  <c r="AC55" i="27" s="1"/>
  <c r="AJ123" i="5"/>
  <c r="AI123" i="5"/>
  <c r="AH123" i="5"/>
  <c r="AQ121" i="5"/>
  <c r="AP121" i="5"/>
  <c r="S43" i="27" s="1"/>
  <c r="I44" i="27" s="1"/>
  <c r="AO121" i="5"/>
  <c r="S42" i="27" s="1"/>
  <c r="AN121" i="5"/>
  <c r="S41" i="27" s="1"/>
  <c r="AM121" i="5"/>
  <c r="AL121" i="5"/>
  <c r="AC43" i="27" s="1"/>
  <c r="AJ121" i="5"/>
  <c r="AI121" i="5"/>
  <c r="AH121" i="5"/>
  <c r="G121" i="5"/>
  <c r="AI140"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AO84" i="5"/>
  <c r="S42" i="22" s="1"/>
  <c r="AN84" i="5"/>
  <c r="S41" i="22" s="1"/>
  <c r="AM84" i="5"/>
  <c r="AL84" i="5"/>
  <c r="AC43" i="22" s="1"/>
  <c r="AK84" i="5"/>
  <c r="AC42" i="22" s="1"/>
  <c r="AJ84" i="5"/>
  <c r="AI84" i="5"/>
  <c r="AH84" i="5"/>
  <c r="AQ79" i="5"/>
  <c r="AP79" i="5"/>
  <c r="S43" i="21" s="1"/>
  <c r="I44" i="21" s="1"/>
  <c r="J45" i="21" s="1"/>
  <c r="AO79" i="5"/>
  <c r="S42" i="21" s="1"/>
  <c r="AN79" i="5"/>
  <c r="S41" i="21" s="1"/>
  <c r="AM79" i="5"/>
  <c r="AL79" i="5"/>
  <c r="AK79" i="5"/>
  <c r="AC42" i="21" s="1"/>
  <c r="AJ79" i="5"/>
  <c r="AI79" i="5"/>
  <c r="AH79" i="5"/>
  <c r="AQ63" i="5"/>
  <c r="S46" i="14" s="1"/>
  <c r="I47" i="14" s="1"/>
  <c r="J48" i="14" s="1"/>
  <c r="AP63" i="5"/>
  <c r="S45" i="13" s="1"/>
  <c r="AO63" i="5"/>
  <c r="S44" i="14"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K49" i="18" s="1"/>
  <c r="S49" i="18" s="1"/>
  <c r="AP43" i="5"/>
  <c r="S45" i="18" s="1"/>
  <c r="AO43" i="5"/>
  <c r="S44" i="18" s="1"/>
  <c r="AN43" i="5"/>
  <c r="S43" i="18" s="1"/>
  <c r="AM43" i="5"/>
  <c r="AD46" i="18" s="1"/>
  <c r="AL43" i="5"/>
  <c r="AD45" i="18" s="1"/>
  <c r="AK43" i="5"/>
  <c r="AJ43" i="5"/>
  <c r="AI43" i="5"/>
  <c r="AH43" i="5"/>
  <c r="AQ38" i="5"/>
  <c r="S46" i="17" s="1"/>
  <c r="J48" i="17" s="1"/>
  <c r="AP38" i="5"/>
  <c r="AO38" i="5"/>
  <c r="S44" i="17" s="1"/>
  <c r="AN38" i="5"/>
  <c r="S43" i="17" s="1"/>
  <c r="AM38" i="5"/>
  <c r="AD46" i="17" s="1"/>
  <c r="AL38" i="5"/>
  <c r="AD45" i="17" s="1"/>
  <c r="AK38" i="5"/>
  <c r="AD44" i="17" s="1"/>
  <c r="AJ38" i="5"/>
  <c r="AI38" i="5"/>
  <c r="AH38" i="5"/>
  <c r="AQ33" i="5"/>
  <c r="AP33" i="5"/>
  <c r="U51" i="19" s="1"/>
  <c r="AO33" i="5"/>
  <c r="U50" i="19" s="1"/>
  <c r="AN33" i="5"/>
  <c r="U49" i="19" s="1"/>
  <c r="AM33" i="5"/>
  <c r="AG52" i="19" s="1"/>
  <c r="AL33" i="5"/>
  <c r="AG51" i="19" s="1"/>
  <c r="AK33" i="5"/>
  <c r="AG50" i="19" s="1"/>
  <c r="AJ33" i="5"/>
  <c r="AI33" i="5"/>
  <c r="AH33" i="5"/>
  <c r="AQ28" i="5"/>
  <c r="AP28" i="5"/>
  <c r="AO28" i="5"/>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AO18" i="5"/>
  <c r="S44" i="12" s="1"/>
  <c r="AN18" i="5"/>
  <c r="S43" i="12" s="1"/>
  <c r="AM18" i="5"/>
  <c r="AD46" i="12" s="1"/>
  <c r="AL18" i="5"/>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3" i="4"/>
  <c r="Q13" i="4"/>
  <c r="P13" i="4"/>
  <c r="I13" i="4"/>
  <c r="E7" i="4"/>
  <c r="D5" i="4"/>
  <c r="O37" i="3"/>
  <c r="M37" i="3" a="1"/>
  <c r="M37" i="3"/>
  <c r="E37" i="3"/>
  <c r="E36" i="3"/>
  <c r="G36" i="3" s="1"/>
  <c r="N163" i="5" s="1"/>
  <c r="AK163" i="5" s="1"/>
  <c r="AC262" i="27" s="1"/>
  <c r="O34" i="3"/>
  <c r="M34" i="3" a="1"/>
  <c r="M34" i="3" s="1"/>
  <c r="E34" i="3"/>
  <c r="E33" i="3"/>
  <c r="G33" i="3" s="1"/>
  <c r="N154" i="5" s="1"/>
  <c r="O31" i="3"/>
  <c r="M31" i="3" a="1"/>
  <c r="M31" i="3"/>
  <c r="E31" i="3"/>
  <c r="E30" i="3"/>
  <c r="G30" i="3" s="1"/>
  <c r="N151" i="5" s="1"/>
  <c r="AK151" i="5" s="1"/>
  <c r="AC198" i="27" s="1"/>
  <c r="O28" i="3"/>
  <c r="M28" i="3" a="1"/>
  <c r="M28" i="3" s="1"/>
  <c r="E28" i="3"/>
  <c r="E27" i="3"/>
  <c r="G27" i="3" s="1"/>
  <c r="N146" i="5" s="1"/>
  <c r="O25" i="3"/>
  <c r="M25" i="3" a="1"/>
  <c r="M25" i="3"/>
  <c r="E25" i="3"/>
  <c r="E24" i="3"/>
  <c r="G24" i="3" s="1"/>
  <c r="N143" i="5" s="1"/>
  <c r="AK143" i="5" s="1"/>
  <c r="AC158" i="27" s="1"/>
  <c r="O22" i="3"/>
  <c r="M22" i="3" a="1"/>
  <c r="M22" i="3" s="1"/>
  <c r="E22" i="3"/>
  <c r="E21" i="3"/>
  <c r="G21" i="3" s="1"/>
  <c r="N140" i="5" s="1"/>
  <c r="AK140" i="5" s="1"/>
  <c r="AC144" i="27" s="1"/>
  <c r="O19" i="3"/>
  <c r="M19" i="3" a="1"/>
  <c r="M19" i="3"/>
  <c r="E19" i="3"/>
  <c r="E18" i="3"/>
  <c r="G18" i="3" s="1"/>
  <c r="N137" i="5" s="1"/>
  <c r="AK137" i="5" s="1"/>
  <c r="AC130" i="27" s="1"/>
  <c r="O16" i="3"/>
  <c r="M16" i="3" a="1"/>
  <c r="M16" i="3" s="1"/>
  <c r="E16" i="3"/>
  <c r="E15" i="3"/>
  <c r="G15" i="3" s="1"/>
  <c r="N132" i="5" s="1"/>
  <c r="O13" i="3"/>
  <c r="M13" i="3" a="1"/>
  <c r="M13" i="3"/>
  <c r="E13" i="3"/>
  <c r="E12" i="3"/>
  <c r="G12" i="3" s="1"/>
  <c r="N121" i="5" s="1"/>
  <c r="E4" i="3"/>
  <c r="E59" i="2"/>
  <c r="E49" i="2"/>
  <c r="E41" i="2"/>
  <c r="E31" i="2"/>
  <c r="E27" i="2"/>
  <c r="E26" i="2"/>
  <c r="F25" i="2"/>
  <c r="E22" i="2"/>
  <c r="E21" i="2"/>
  <c r="F20" i="2"/>
  <c r="E19" i="2"/>
  <c r="I9" i="2"/>
  <c r="E3" i="2"/>
  <c r="E2" i="2"/>
  <c r="M10" i="55"/>
  <c r="M2" i="55"/>
  <c r="M2" i="54"/>
  <c r="Y25" i="64"/>
  <c r="M10" i="54"/>
  <c r="AT47" i="31"/>
  <c r="AT7" i="31"/>
  <c r="AT7" i="30"/>
  <c r="AL46" i="28"/>
  <c r="BG192" i="27"/>
  <c r="BG188" i="27"/>
  <c r="BG138" i="27"/>
  <c r="BG134" i="27"/>
  <c r="AL48" i="25"/>
  <c r="AT47" i="30"/>
  <c r="AL7" i="28"/>
  <c r="BG256" i="27"/>
  <c r="BG252" i="27"/>
  <c r="BG244" i="27"/>
  <c r="BG240" i="27"/>
  <c r="BG86" i="27"/>
  <c r="BG82" i="27"/>
  <c r="BG232" i="27"/>
  <c r="BG228" i="27"/>
  <c r="BG266" i="27"/>
  <c r="BG220" i="27"/>
  <c r="BG202" i="27"/>
  <c r="BG162" i="27"/>
  <c r="BG112" i="27"/>
  <c r="BG98" i="27"/>
  <c r="BG94" i="27"/>
  <c r="BG70" i="27"/>
  <c r="AN8" i="18"/>
  <c r="AN8" i="16"/>
  <c r="BG176" i="27"/>
  <c r="BG7" i="27"/>
  <c r="AL46" i="24"/>
  <c r="AR56" i="19"/>
  <c r="AN8" i="13"/>
  <c r="AN49" i="12"/>
  <c r="BG206" i="27"/>
  <c r="BG166" i="27"/>
  <c r="BG152" i="27"/>
  <c r="BG148" i="27"/>
  <c r="BG120" i="27"/>
  <c r="BG74" i="27"/>
  <c r="AL46" i="23"/>
  <c r="BG180" i="27"/>
  <c r="AL46" i="22"/>
  <c r="AN49" i="18"/>
  <c r="AN49" i="16"/>
  <c r="BG270" i="27"/>
  <c r="AL7" i="23"/>
  <c r="AR55" i="19"/>
  <c r="AN8" i="15"/>
  <c r="AN49" i="14"/>
  <c r="AN8" i="11"/>
  <c r="BG62" i="27"/>
  <c r="AL7" i="22"/>
  <c r="AR8" i="19"/>
  <c r="BG46" i="27"/>
  <c r="AL7" i="24"/>
  <c r="AL7" i="21"/>
  <c r="AN49" i="13"/>
  <c r="BG108" i="27"/>
  <c r="BG58" i="27"/>
  <c r="AL46" i="21"/>
  <c r="AN49" i="15"/>
  <c r="AN8" i="14"/>
  <c r="AN49" i="11"/>
  <c r="J13" i="3"/>
  <c r="BG124" i="27"/>
  <c r="AL8" i="25"/>
  <c r="AV8" i="20"/>
  <c r="AN49" i="17"/>
  <c r="AN8" i="17"/>
  <c r="AN8" i="12"/>
  <c r="BG50" i="27"/>
  <c r="BG216" i="27"/>
  <c r="AV51" i="20"/>
  <c r="H46" i="51" l="1"/>
  <c r="G48" i="51"/>
  <c r="H48" i="51"/>
  <c r="G46" i="51"/>
  <c r="H50" i="51"/>
  <c r="J126" i="27"/>
  <c r="J123" i="27"/>
  <c r="J124" i="27"/>
  <c r="J119" i="27"/>
  <c r="S118" i="27"/>
  <c r="J125" i="27"/>
  <c r="U54" i="19"/>
  <c r="K55" i="19"/>
  <c r="AK160" i="5"/>
  <c r="AK156" i="5"/>
  <c r="AK154" i="5"/>
  <c r="AC212" i="27" s="1"/>
  <c r="AK158" i="5"/>
  <c r="S47" i="15"/>
  <c r="J48" i="15"/>
  <c r="D37" i="7"/>
  <c r="D38" i="7" s="1"/>
  <c r="D39" i="7" s="1"/>
  <c r="D34" i="7"/>
  <c r="D36" i="7"/>
  <c r="D35" i="7"/>
  <c r="K8" i="12"/>
  <c r="S8" i="12" s="1"/>
  <c r="S7" i="12"/>
  <c r="K8" i="18"/>
  <c r="S8" i="18" s="1"/>
  <c r="S7" i="18"/>
  <c r="S45" i="21"/>
  <c r="K46" i="21"/>
  <c r="S46" i="21" s="1"/>
  <c r="AK129" i="5"/>
  <c r="AK127" i="5"/>
  <c r="AK125" i="5"/>
  <c r="AK121" i="5"/>
  <c r="AC42" i="27" s="1"/>
  <c r="AK123" i="5"/>
  <c r="J45" i="22"/>
  <c r="S44" i="22"/>
  <c r="J45" i="23"/>
  <c r="S44" i="23"/>
  <c r="S47" i="12"/>
  <c r="J48" i="12"/>
  <c r="K49" i="17"/>
  <c r="S49" i="17" s="1"/>
  <c r="S48" i="17"/>
  <c r="AK134" i="5"/>
  <c r="AK132" i="5"/>
  <c r="AC104" i="27" s="1"/>
  <c r="J86" i="27"/>
  <c r="S80" i="27"/>
  <c r="J81" i="27"/>
  <c r="J87" i="27"/>
  <c r="J88" i="27"/>
  <c r="J85" i="27"/>
  <c r="S6" i="11"/>
  <c r="J7" i="11"/>
  <c r="J48" i="11"/>
  <c r="S47" i="11"/>
  <c r="S5" i="22"/>
  <c r="J6" i="22"/>
  <c r="S48" i="14"/>
  <c r="K49" i="14"/>
  <c r="S49" i="14" s="1"/>
  <c r="J232" i="27"/>
  <c r="J233" i="27"/>
  <c r="J227" i="27"/>
  <c r="J234" i="27"/>
  <c r="J231" i="27"/>
  <c r="S226" i="27"/>
  <c r="AK148" i="5"/>
  <c r="AK146" i="5"/>
  <c r="AC172" i="27" s="1"/>
  <c r="J63" i="27"/>
  <c r="J62" i="27"/>
  <c r="J57" i="27"/>
  <c r="J61" i="27"/>
  <c r="S56" i="27"/>
  <c r="J64" i="27"/>
  <c r="J147" i="27"/>
  <c r="J153" i="27"/>
  <c r="J154" i="27"/>
  <c r="J151" i="27"/>
  <c r="S146" i="27"/>
  <c r="J152" i="27"/>
  <c r="J7" i="14"/>
  <c r="S6" i="14"/>
  <c r="G218" i="48"/>
  <c r="G90" i="48"/>
  <c r="G279" i="48"/>
  <c r="G27" i="48"/>
  <c r="G154" i="48"/>
  <c r="AD43" i="12"/>
  <c r="G300" i="48"/>
  <c r="G48" i="48"/>
  <c r="G175" i="48"/>
  <c r="G111" i="48"/>
  <c r="G239" i="48"/>
  <c r="G208" i="48"/>
  <c r="G330" i="48"/>
  <c r="G78" i="48"/>
  <c r="G269" i="48"/>
  <c r="AC41" i="28"/>
  <c r="G144" i="48"/>
  <c r="G169" i="48"/>
  <c r="G294" i="48"/>
  <c r="G42" i="48"/>
  <c r="G233" i="48"/>
  <c r="G105" i="48"/>
  <c r="F297" i="48"/>
  <c r="F236" i="48"/>
  <c r="F45" i="48"/>
  <c r="F108" i="48"/>
  <c r="F172" i="48"/>
  <c r="J46" i="30"/>
  <c r="S45" i="30"/>
  <c r="F327" i="48"/>
  <c r="F138" i="48"/>
  <c r="F75" i="48"/>
  <c r="F202" i="48"/>
  <c r="F266" i="48"/>
  <c r="J76" i="27"/>
  <c r="J73" i="27"/>
  <c r="S68" i="27"/>
  <c r="J75" i="27"/>
  <c r="J74" i="27"/>
  <c r="J69" i="27"/>
  <c r="J100" i="27"/>
  <c r="J97" i="27"/>
  <c r="S92" i="27"/>
  <c r="J93" i="27"/>
  <c r="AI151" i="5"/>
  <c r="J270" i="27"/>
  <c r="J271" i="27"/>
  <c r="J265" i="27"/>
  <c r="J272" i="27"/>
  <c r="J269" i="27"/>
  <c r="AD45" i="14"/>
  <c r="S43" i="16"/>
  <c r="AD46" i="16"/>
  <c r="K8" i="17"/>
  <c r="S8" i="17" s="1"/>
  <c r="I47" i="18"/>
  <c r="J98" i="27"/>
  <c r="F251" i="48"/>
  <c r="F187" i="48"/>
  <c r="F312" i="48"/>
  <c r="F60" i="48"/>
  <c r="F123" i="48"/>
  <c r="F263" i="48"/>
  <c r="F199" i="48"/>
  <c r="F324" i="48"/>
  <c r="F135" i="48"/>
  <c r="F72" i="48"/>
  <c r="F211" i="48"/>
  <c r="F333" i="48"/>
  <c r="F272" i="48"/>
  <c r="F81" i="48"/>
  <c r="F147" i="48"/>
  <c r="H11" i="45"/>
  <c r="I11" i="50"/>
  <c r="I9" i="39"/>
  <c r="I12" i="37"/>
  <c r="H16" i="34"/>
  <c r="M12" i="35"/>
  <c r="I28" i="40"/>
  <c r="I27" i="33"/>
  <c r="I12" i="38"/>
  <c r="L22" i="64"/>
  <c r="F23" i="64" s="1"/>
  <c r="S46" i="16"/>
  <c r="G157" i="48"/>
  <c r="O19" i="64"/>
  <c r="G282" i="48"/>
  <c r="G30" i="48"/>
  <c r="G221" i="48"/>
  <c r="G93" i="48"/>
  <c r="G242" i="48"/>
  <c r="G114" i="48"/>
  <c r="G303" i="48"/>
  <c r="G51" i="48"/>
  <c r="G178" i="48"/>
  <c r="F245" i="48"/>
  <c r="F306" i="48"/>
  <c r="F54" i="48"/>
  <c r="F117" i="48"/>
  <c r="F181" i="48"/>
  <c r="G254" i="48"/>
  <c r="G126" i="48"/>
  <c r="G315" i="48"/>
  <c r="G63" i="48"/>
  <c r="G190" i="48"/>
  <c r="AD46" i="26"/>
  <c r="F257" i="48"/>
  <c r="F318" i="48"/>
  <c r="F66" i="48"/>
  <c r="F129" i="48"/>
  <c r="F193" i="48"/>
  <c r="J50" i="27"/>
  <c r="J51" i="27"/>
  <c r="J45" i="27"/>
  <c r="J52" i="27"/>
  <c r="J49" i="27"/>
  <c r="J244" i="27"/>
  <c r="J245" i="27"/>
  <c r="J239" i="27"/>
  <c r="J246" i="27"/>
  <c r="J243" i="27"/>
  <c r="S238" i="27"/>
  <c r="K51" i="20"/>
  <c r="S51" i="20" s="1"/>
  <c r="J50" i="20"/>
  <c r="I49" i="20"/>
  <c r="G151" i="48"/>
  <c r="G24" i="48"/>
  <c r="G5" i="48"/>
  <c r="G87" i="48"/>
  <c r="G215" i="48"/>
  <c r="G2" i="48"/>
  <c r="G276" i="48"/>
  <c r="F279" i="48"/>
  <c r="F90" i="48"/>
  <c r="F218" i="48"/>
  <c r="F154" i="48"/>
  <c r="F27" i="48"/>
  <c r="G96" i="48"/>
  <c r="G285" i="48"/>
  <c r="G224" i="48"/>
  <c r="G160" i="48"/>
  <c r="G33" i="48"/>
  <c r="AG49" i="19"/>
  <c r="F163" i="48"/>
  <c r="F36" i="48"/>
  <c r="F288" i="48"/>
  <c r="F99" i="48"/>
  <c r="F227" i="48"/>
  <c r="G108" i="48"/>
  <c r="G297" i="48"/>
  <c r="G236" i="48"/>
  <c r="G172" i="48"/>
  <c r="G45" i="48"/>
  <c r="AB45" i="20"/>
  <c r="F175" i="48"/>
  <c r="F111" i="48"/>
  <c r="F300" i="48"/>
  <c r="F239" i="48"/>
  <c r="F48" i="48"/>
  <c r="G181" i="48"/>
  <c r="G306" i="48"/>
  <c r="G54" i="48"/>
  <c r="G245" i="48"/>
  <c r="G117" i="48"/>
  <c r="AC41" i="22"/>
  <c r="F184" i="48"/>
  <c r="F309" i="48"/>
  <c r="F248" i="48"/>
  <c r="F57" i="48"/>
  <c r="F120" i="48"/>
  <c r="G193" i="48"/>
  <c r="G318" i="48"/>
  <c r="G66" i="48"/>
  <c r="G257" i="48"/>
  <c r="G129" i="48"/>
  <c r="AG42" i="30"/>
  <c r="F196" i="48"/>
  <c r="F321" i="48"/>
  <c r="F260" i="48"/>
  <c r="F69" i="48"/>
  <c r="F132" i="48"/>
  <c r="S45" i="31"/>
  <c r="J46" i="31"/>
  <c r="G266" i="48"/>
  <c r="G138" i="48"/>
  <c r="G327" i="48"/>
  <c r="G75" i="48"/>
  <c r="G202" i="48"/>
  <c r="AC41" i="27"/>
  <c r="J113" i="27"/>
  <c r="J107" i="27"/>
  <c r="J114" i="27"/>
  <c r="J112" i="27"/>
  <c r="J111" i="27"/>
  <c r="AI154" i="5"/>
  <c r="AI156" i="5"/>
  <c r="AI158" i="5"/>
  <c r="AI160" i="5"/>
  <c r="F269" i="48"/>
  <c r="F330" i="48"/>
  <c r="F78" i="48"/>
  <c r="F144" i="48"/>
  <c r="F208" i="48"/>
  <c r="S44" i="28"/>
  <c r="J45" i="28"/>
  <c r="S44" i="13"/>
  <c r="AD43" i="16"/>
  <c r="L9" i="19"/>
  <c r="U9" i="19" s="1"/>
  <c r="S44" i="27"/>
  <c r="S264" i="27"/>
  <c r="S132" i="27"/>
  <c r="J138" i="27"/>
  <c r="J133" i="27"/>
  <c r="J137" i="27"/>
  <c r="J139" i="27"/>
  <c r="G288" i="48"/>
  <c r="G36" i="48"/>
  <c r="G163" i="48"/>
  <c r="G99" i="48"/>
  <c r="G227" i="48"/>
  <c r="J45" i="24"/>
  <c r="S44" i="24"/>
  <c r="J99" i="27"/>
  <c r="I9" i="50"/>
  <c r="M10" i="35"/>
  <c r="I26" i="40"/>
  <c r="I25" i="33"/>
  <c r="I10" i="38"/>
  <c r="H14" i="34"/>
  <c r="H9" i="45"/>
  <c r="I7" i="39"/>
  <c r="I10" i="37"/>
  <c r="K48" i="25"/>
  <c r="S48" i="25" s="1"/>
  <c r="J47" i="25"/>
  <c r="I46" i="25"/>
  <c r="G120" i="48"/>
  <c r="G309" i="48"/>
  <c r="G248" i="48"/>
  <c r="G184" i="48"/>
  <c r="G57" i="48"/>
  <c r="G132" i="48"/>
  <c r="G321" i="48"/>
  <c r="G260" i="48"/>
  <c r="G196" i="48"/>
  <c r="AG42" i="31"/>
  <c r="G69" i="48"/>
  <c r="J167" i="27"/>
  <c r="J161" i="27"/>
  <c r="J165" i="27"/>
  <c r="J168" i="27"/>
  <c r="J166" i="27"/>
  <c r="S160" i="27"/>
  <c r="AD43" i="15"/>
  <c r="AD44" i="16"/>
  <c r="AD43" i="17"/>
  <c r="D20" i="7"/>
  <c r="S6" i="12"/>
  <c r="S47" i="14"/>
  <c r="F221" i="48"/>
  <c r="F282" i="48"/>
  <c r="F93" i="48"/>
  <c r="F157" i="48"/>
  <c r="F30" i="48"/>
  <c r="L21" i="64"/>
  <c r="S45" i="16"/>
  <c r="G230" i="48"/>
  <c r="G102" i="48"/>
  <c r="G291" i="48"/>
  <c r="G39" i="48"/>
  <c r="G166" i="48"/>
  <c r="F233" i="48"/>
  <c r="F294" i="48"/>
  <c r="F42" i="48"/>
  <c r="F105" i="48"/>
  <c r="F169" i="48"/>
  <c r="F303" i="48"/>
  <c r="F114" i="48"/>
  <c r="F242" i="48"/>
  <c r="F178" i="48"/>
  <c r="F51" i="48"/>
  <c r="G312" i="48"/>
  <c r="G60" i="48"/>
  <c r="G187" i="48"/>
  <c r="G123" i="48"/>
  <c r="G251" i="48"/>
  <c r="AC41" i="24"/>
  <c r="F315" i="48"/>
  <c r="F126" i="48"/>
  <c r="F254" i="48"/>
  <c r="F190" i="48"/>
  <c r="F63" i="48"/>
  <c r="G324" i="48"/>
  <c r="G72" i="48"/>
  <c r="G263" i="48"/>
  <c r="G199" i="48"/>
  <c r="G135" i="48"/>
  <c r="AD46" i="32"/>
  <c r="J182" i="27"/>
  <c r="J179" i="27"/>
  <c r="S174" i="27"/>
  <c r="J181" i="27"/>
  <c r="J180" i="27"/>
  <c r="J175" i="27"/>
  <c r="J194" i="27"/>
  <c r="J191" i="27"/>
  <c r="S186" i="27"/>
  <c r="J192" i="27"/>
  <c r="J193" i="27"/>
  <c r="J187" i="27"/>
  <c r="G147" i="48"/>
  <c r="G333" i="48"/>
  <c r="G272" i="48"/>
  <c r="G211" i="48"/>
  <c r="G81" i="48"/>
  <c r="AD46" i="29"/>
  <c r="D21" i="7"/>
  <c r="S46" i="13"/>
  <c r="I47" i="13" s="1"/>
  <c r="K8" i="15"/>
  <c r="S8" i="15" s="1"/>
  <c r="S7" i="16"/>
  <c r="I47" i="17"/>
  <c r="S44" i="21"/>
  <c r="K7" i="24"/>
  <c r="S7" i="24" s="1"/>
  <c r="S6" i="24"/>
  <c r="J140" i="27"/>
  <c r="F291" i="48"/>
  <c r="F102" i="48"/>
  <c r="F166" i="48"/>
  <c r="F39" i="48"/>
  <c r="F230" i="48"/>
  <c r="J7" i="13"/>
  <c r="AC41" i="21"/>
  <c r="J6" i="23"/>
  <c r="S5" i="23"/>
  <c r="I8" i="39"/>
  <c r="H15" i="34"/>
  <c r="I10" i="50"/>
  <c r="I11" i="38"/>
  <c r="H10" i="45"/>
  <c r="I11" i="37"/>
  <c r="M11" i="35"/>
  <c r="I27" i="40"/>
  <c r="I26" i="33"/>
  <c r="L20" i="64"/>
  <c r="S44" i="16"/>
  <c r="J206" i="27"/>
  <c r="J208" i="27"/>
  <c r="J205" i="27"/>
  <c r="S200" i="27"/>
  <c r="J207" i="27"/>
  <c r="J201" i="27"/>
  <c r="D22" i="7"/>
  <c r="F87" i="48"/>
  <c r="F276" i="48"/>
  <c r="F215" i="48"/>
  <c r="F151" i="48"/>
  <c r="F24" i="48"/>
  <c r="F285" i="48"/>
  <c r="F224" i="48"/>
  <c r="F160" i="48"/>
  <c r="F33" i="48"/>
  <c r="F96" i="48"/>
  <c r="J220" i="27"/>
  <c r="J221" i="27"/>
  <c r="J215" i="27"/>
  <c r="J222" i="27"/>
  <c r="J219" i="27"/>
  <c r="S214" i="27"/>
  <c r="J256" i="27"/>
  <c r="J257" i="27"/>
  <c r="J251" i="27"/>
  <c r="J258" i="27"/>
  <c r="J255" i="27"/>
  <c r="S250" i="27"/>
  <c r="S45" i="14"/>
  <c r="AD43" i="18"/>
  <c r="S5" i="21"/>
  <c r="AC42" i="25"/>
  <c r="B34" i="33"/>
  <c r="K33" i="33"/>
  <c r="S5" i="31"/>
  <c r="J6" i="31"/>
  <c r="S5" i="27"/>
  <c r="J6" i="28"/>
  <c r="S5" i="28"/>
  <c r="S6" i="30"/>
  <c r="AA16" i="63"/>
  <c r="N16" i="63" s="1"/>
  <c r="I21" i="45" s="1"/>
  <c r="E30" i="62"/>
  <c r="C30" i="62" s="1"/>
  <c r="D14" i="47" s="1"/>
  <c r="E10" i="49"/>
  <c r="AA13" i="63"/>
  <c r="N13" i="63" s="1"/>
  <c r="I17" i="45" s="1"/>
  <c r="E5" i="62"/>
  <c r="C5" i="62" s="1"/>
  <c r="D5" i="46" s="1"/>
  <c r="J46" i="51"/>
  <c r="M276" i="48"/>
  <c r="M24" i="48"/>
  <c r="E14" i="48"/>
  <c r="E35" i="47"/>
  <c r="G17" i="46"/>
  <c r="AA15" i="63"/>
  <c r="N15" i="63" s="1"/>
  <c r="I19" i="45" s="1"/>
  <c r="E29" i="62"/>
  <c r="C29" i="62" s="1"/>
  <c r="D5" i="49" s="1"/>
  <c r="U15" i="63"/>
  <c r="M15" i="63" s="1"/>
  <c r="E19" i="45" s="1"/>
  <c r="U148" i="63"/>
  <c r="M148" i="63" s="1"/>
  <c r="E12" i="46" s="1"/>
  <c r="AA12" i="63"/>
  <c r="N12" i="63" s="1"/>
  <c r="I16" i="45" s="1"/>
  <c r="E32" i="62"/>
  <c r="C32" i="62" s="1"/>
  <c r="E5" i="55"/>
  <c r="E5" i="54"/>
  <c r="E3" i="62"/>
  <c r="C3" i="62" s="1"/>
  <c r="D5" i="45" s="1"/>
  <c r="J47" i="51"/>
  <c r="M151" i="48"/>
  <c r="U14" i="63"/>
  <c r="M14" i="63" s="1"/>
  <c r="E18" i="45" s="1"/>
  <c r="E6" i="62"/>
  <c r="C6" i="62" s="1"/>
  <c r="E21" i="33" s="1"/>
  <c r="J51" i="51"/>
  <c r="J45" i="51" s="1"/>
  <c r="E5" i="2" s="1"/>
  <c r="J49" i="51"/>
  <c r="AA11" i="63"/>
  <c r="N11" i="63" s="1"/>
  <c r="I15" i="45" s="1"/>
  <c r="E11" i="49"/>
  <c r="M87" i="48"/>
  <c r="E42" i="47"/>
  <c r="I36" i="43"/>
  <c r="H36" i="43" s="1"/>
  <c r="E31" i="47"/>
  <c r="E32" i="47"/>
  <c r="E16" i="46"/>
  <c r="E38" i="47"/>
  <c r="F84" i="48"/>
  <c r="E24" i="47"/>
  <c r="M215" i="48"/>
  <c r="J52" i="51"/>
  <c r="E25" i="47"/>
  <c r="J50" i="51"/>
  <c r="H47" i="51"/>
  <c r="F10" i="54"/>
  <c r="E31" i="62"/>
  <c r="C31" i="62" s="1"/>
  <c r="D4" i="8" s="1"/>
  <c r="G50" i="51"/>
  <c r="D48" i="61"/>
  <c r="F10" i="55"/>
  <c r="D49" i="61"/>
  <c r="G49" i="51"/>
  <c r="G53" i="51"/>
  <c r="F2" i="54"/>
  <c r="D50" i="61"/>
  <c r="G47" i="51"/>
  <c r="H49" i="51"/>
  <c r="S219" i="27" l="1"/>
  <c r="K220" i="27"/>
  <c r="S220" i="27" s="1"/>
  <c r="S93" i="27"/>
  <c r="K94" i="27"/>
  <c r="S94" i="27" s="1"/>
  <c r="K192" i="27"/>
  <c r="S192" i="27" s="1"/>
  <c r="S191" i="27"/>
  <c r="S6" i="28"/>
  <c r="K7" i="28"/>
  <c r="S7" i="28" s="1"/>
  <c r="K176" i="27"/>
  <c r="S176" i="27" s="1"/>
  <c r="S175" i="27"/>
  <c r="K108" i="27"/>
  <c r="S108" i="27" s="1"/>
  <c r="S107" i="27"/>
  <c r="K47" i="31"/>
  <c r="S47" i="31" s="1"/>
  <c r="S46" i="31"/>
  <c r="K240" i="27"/>
  <c r="S240" i="27" s="1"/>
  <c r="S239" i="27"/>
  <c r="S57" i="27"/>
  <c r="K58" i="27"/>
  <c r="S58" i="27" s="1"/>
  <c r="K228" i="27"/>
  <c r="S228" i="27" s="1"/>
  <c r="S227" i="27"/>
  <c r="K49" i="11"/>
  <c r="S49" i="11" s="1"/>
  <c r="S48" i="11"/>
  <c r="K46" i="23"/>
  <c r="S46" i="23" s="1"/>
  <c r="S45" i="23"/>
  <c r="L56" i="19"/>
  <c r="U56" i="19" s="1"/>
  <c r="U55" i="19"/>
  <c r="S201" i="27"/>
  <c r="K202" i="27"/>
  <c r="S202" i="27" s="1"/>
  <c r="D41" i="7"/>
  <c r="D40" i="7"/>
  <c r="D43" i="7"/>
  <c r="D44" i="7" s="1"/>
  <c r="D45" i="7" s="1"/>
  <c r="J48" i="13"/>
  <c r="S47" i="13"/>
  <c r="S45" i="24"/>
  <c r="K46" i="24"/>
  <c r="S46" i="24" s="1"/>
  <c r="S133" i="27"/>
  <c r="K134" i="27"/>
  <c r="S134" i="27" s="1"/>
  <c r="K46" i="28"/>
  <c r="S46" i="28" s="1"/>
  <c r="S45" i="28"/>
  <c r="S45" i="22"/>
  <c r="K46" i="22"/>
  <c r="S46" i="22" s="1"/>
  <c r="K49" i="15"/>
  <c r="S49" i="15" s="1"/>
  <c r="S48" i="15"/>
  <c r="K7" i="31"/>
  <c r="S7" i="31" s="1"/>
  <c r="S6" i="31"/>
  <c r="K188" i="27"/>
  <c r="S188" i="27" s="1"/>
  <c r="S187" i="27"/>
  <c r="S255" i="27"/>
  <c r="K256" i="27"/>
  <c r="S256" i="27" s="1"/>
  <c r="S215" i="27"/>
  <c r="K216" i="27"/>
  <c r="S216" i="27" s="1"/>
  <c r="K7" i="23"/>
  <c r="S7" i="23" s="1"/>
  <c r="S6" i="23"/>
  <c r="K50" i="27"/>
  <c r="S50" i="27" s="1"/>
  <c r="S49" i="27"/>
  <c r="J48" i="16"/>
  <c r="I47" i="16"/>
  <c r="K270" i="27"/>
  <c r="S270" i="27" s="1"/>
  <c r="S269" i="27"/>
  <c r="K98" i="27"/>
  <c r="S98" i="27" s="1"/>
  <c r="S97" i="27"/>
  <c r="K86" i="27"/>
  <c r="S86" i="27" s="1"/>
  <c r="S85" i="27"/>
  <c r="K74" i="27"/>
  <c r="S74" i="27" s="1"/>
  <c r="S73" i="27"/>
  <c r="K180" i="27"/>
  <c r="S180" i="27" s="1"/>
  <c r="S179" i="27"/>
  <c r="L23" i="64"/>
  <c r="G24" i="64"/>
  <c r="S147" i="27"/>
  <c r="K148" i="27"/>
  <c r="S148" i="27" s="1"/>
  <c r="K120" i="27"/>
  <c r="S120" i="27" s="1"/>
  <c r="S119" i="27"/>
  <c r="B5" i="1"/>
  <c r="D4" i="4"/>
  <c r="F5" i="41"/>
  <c r="F5" i="43"/>
  <c r="F5" i="44"/>
  <c r="F5" i="42"/>
  <c r="S251" i="27"/>
  <c r="K252" i="27"/>
  <c r="S252" i="27" s="1"/>
  <c r="S7" i="13"/>
  <c r="K8" i="13"/>
  <c r="S8" i="13" s="1"/>
  <c r="S111" i="27"/>
  <c r="K112" i="27"/>
  <c r="S112" i="27" s="1"/>
  <c r="K46" i="27"/>
  <c r="S46" i="27" s="1"/>
  <c r="S45" i="27"/>
  <c r="K266" i="27"/>
  <c r="S266" i="27" s="1"/>
  <c r="S265" i="27"/>
  <c r="K70" i="27"/>
  <c r="S70" i="27" s="1"/>
  <c r="S69" i="27"/>
  <c r="K7" i="22"/>
  <c r="S7" i="22" s="1"/>
  <c r="S6" i="22"/>
  <c r="S48" i="12"/>
  <c r="K49" i="12"/>
  <c r="S49" i="12" s="1"/>
  <c r="K138" i="27"/>
  <c r="S138" i="27" s="1"/>
  <c r="S137" i="27"/>
  <c r="K47" i="30"/>
  <c r="S47" i="30" s="1"/>
  <c r="S46" i="30"/>
  <c r="S7" i="11"/>
  <c r="K8" i="11"/>
  <c r="S8" i="11" s="1"/>
  <c r="S165" i="27"/>
  <c r="K166" i="27"/>
  <c r="S166" i="27" s="1"/>
  <c r="K244" i="27"/>
  <c r="S244" i="27" s="1"/>
  <c r="S243" i="27"/>
  <c r="K8" i="14"/>
  <c r="S8" i="14" s="1"/>
  <c r="S7" i="14"/>
  <c r="K232" i="27"/>
  <c r="S232" i="27" s="1"/>
  <c r="S231" i="27"/>
  <c r="K82" i="27"/>
  <c r="S82" i="27" s="1"/>
  <c r="S81" i="27"/>
  <c r="K124" i="27"/>
  <c r="S124" i="27" s="1"/>
  <c r="S123" i="27"/>
  <c r="S151" i="27"/>
  <c r="K152" i="27"/>
  <c r="S152" i="27" s="1"/>
  <c r="I31" i="33"/>
  <c r="I136" i="33" s="1"/>
  <c r="H31" i="33"/>
  <c r="H136" i="33" s="1"/>
  <c r="S205" i="27"/>
  <c r="K206" i="27"/>
  <c r="S206" i="27" s="1"/>
  <c r="K162" i="27"/>
  <c r="S162" i="27" s="1"/>
  <c r="S161" i="27"/>
  <c r="S61" i="27"/>
  <c r="K62" i="27"/>
  <c r="S62" i="27" s="1"/>
  <c r="K49" i="16" l="1"/>
  <c r="S49" i="16" s="1"/>
  <c r="S48" i="16"/>
  <c r="K49" i="13"/>
  <c r="S49" i="13" s="1"/>
  <c r="S48" i="13"/>
  <c r="D46" i="7"/>
  <c r="D51" i="7"/>
  <c r="D49" i="7"/>
  <c r="D48" i="7"/>
  <c r="D47" i="7"/>
  <c r="H25" i="64"/>
  <c r="L25" i="64" s="1"/>
  <c r="L24" i="6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<sst xmlns="http://schemas.openxmlformats.org/spreadsheetml/2006/main" count="15705" uniqueCount="3724">
  <si>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</si>
  <si>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</si>
  <si>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</si>
  <si>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</si>
  <si>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</si>
  <si>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</si>
  <si>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</si>
  <si>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</si>
  <si>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</si>
  <si>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</si>
  <si>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</si>
  <si>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</si>
  <si>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</si>
  <si>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30427809</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</si>
  <si>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</si>
  <si>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</si>
  <si>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</si>
  <si>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</si>
  <si>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</si>
  <si>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</si>
  <si>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</si>
  <si>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</si>
  <si>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</si>
  <si>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</si>
  <si>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</si>
  <si>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</si>
  <si>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</si>
  <si>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</si>
  <si>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</si>
  <si>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</si>
  <si>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</si>
  <si>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</si>
  <si>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</si>
  <si>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</si>
  <si>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</si>
  <si>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</si>
  <si>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</si>
  <si>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</si>
  <si>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</si>
  <si>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</si>
  <si>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</si>
  <si>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27-2228</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</si>
  <si>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</si>
  <si>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</si>
  <si>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</si>
  <si>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27-6414</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</si>
  <si>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</si>
  <si>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</si>
  <si>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</si>
  <si>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</si>
  <si>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</si>
  <si>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</si>
  <si>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250202002</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</si>
  <si>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</si>
  <si>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</si>
  <si>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</si>
  <si>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</si>
  <si>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</si>
  <si>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</si>
  <si>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</si>
  <si>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</si>
  <si>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</si>
  <si>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</si>
  <si>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</si>
  <si>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</si>
  <si>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</si>
  <si>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</si>
  <si>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</si>
  <si>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</si>
  <si>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</si>
  <si>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 Владивосток, ул. Героев Варяга, д.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</si>
  <si>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</si>
  <si>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</si>
  <si>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</si>
  <si>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</si>
  <si>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</si>
  <si>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</si>
  <si>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</si>
  <si>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</si>
  <si>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</si>
  <si>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</si>
  <si>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</si>
  <si>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</si>
  <si>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</si>
  <si>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</si>
  <si>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</si>
  <si>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</si>
  <si>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</si>
  <si>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</si>
  <si>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</si>
  <si>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</si>
  <si>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</si>
  <si>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</si>
  <si>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</si>
  <si>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</si>
  <si>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</si>
  <si>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</si>
  <si>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</si>
  <si>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</si>
  <si>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78</t>
  </si>
  <si>
    <t>Хасанский муниципальный округ</t>
  </si>
  <si>
    <t>05548000</t>
  </si>
  <si>
    <t>Добавить МО</t>
  </si>
  <si>
    <t>2</t>
  </si>
  <si>
    <t>×</t>
  </si>
  <si>
    <t>ter_5</t>
  </si>
  <si>
    <t>89</t>
  </si>
  <si>
    <t>Шкотовский муниципальный округ</t>
  </si>
  <si>
    <t>05557000</t>
  </si>
  <si>
    <t>ter_51</t>
  </si>
  <si>
    <t>16</t>
  </si>
  <si>
    <t>Кавалеровский муниципальный округ</t>
  </si>
  <si>
    <t>05510000</t>
  </si>
  <si>
    <t>ter_511</t>
  </si>
  <si>
    <t>Дальнегорский городской округ</t>
  </si>
  <si>
    <t>05707000</t>
  </si>
  <si>
    <t>5</t>
  </si>
  <si>
    <t>ter_5111</t>
  </si>
  <si>
    <t>44</t>
  </si>
  <si>
    <t>Михайловский муниципальный район</t>
  </si>
  <si>
    <t>Новошахтинское городское поселение</t>
  </si>
  <si>
    <t>05620154</t>
  </si>
  <si>
    <t>ter_51111</t>
  </si>
  <si>
    <t>106</t>
  </si>
  <si>
    <t>городской округ ЗАТО Фокино</t>
  </si>
  <si>
    <t>05747000</t>
  </si>
  <si>
    <t>ter_511111</t>
  </si>
  <si>
    <t>Городской округ Спасск-Дальний</t>
  </si>
  <si>
    <t>05720000</t>
  </si>
  <si>
    <t>8</t>
  </si>
  <si>
    <t>ter_5111111</t>
  </si>
  <si>
    <t>80</t>
  </si>
  <si>
    <t>Черниговский муниципальный округ</t>
  </si>
  <si>
    <t>05553000</t>
  </si>
  <si>
    <t>9</t>
  </si>
  <si>
    <t>ter_51111111</t>
  </si>
  <si>
    <t>1</t>
  </si>
  <si>
    <t>Анучинский муниципальный округ</t>
  </si>
  <si>
    <t>05502000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</si>
  <si>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</si>
  <si>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</si>
  <si>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</si>
  <si>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</si>
  <si>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</si>
  <si>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</si>
  <si>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</si>
  <si>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</si>
  <si>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</si>
  <si>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</si>
  <si>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</si>
  <si>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</si>
  <si>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</si>
  <si>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</si>
  <si>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</si>
  <si>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</si>
  <si>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</si>
  <si>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</si>
  <si>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</si>
  <si>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</si>
  <si>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</si>
  <si>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</si>
  <si>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</si>
  <si>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</si>
  <si>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</si>
  <si>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</si>
  <si>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</si>
  <si>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</si>
  <si>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</si>
  <si>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</si>
  <si>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</si>
  <si>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</si>
  <si>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</si>
  <si>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</si>
  <si>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</si>
  <si>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</si>
  <si>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</si>
  <si>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</si>
  <si>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</si>
  <si>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</si>
  <si>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</si>
  <si>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</si>
  <si>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</si>
  <si>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</si>
  <si>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</si>
  <si>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</si>
  <si>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</si>
  <si>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</si>
  <si>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</si>
  <si>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</si>
  <si>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</si>
  <si>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</si>
  <si>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</si>
  <si>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</si>
  <si>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</si>
  <si>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</si>
  <si>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</si>
  <si>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</si>
  <si>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</si>
  <si>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</si>
  <si>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</si>
  <si>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</si>
  <si>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</si>
  <si>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</si>
  <si>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</si>
  <si>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</si>
  <si>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</si>
  <si>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</si>
  <si>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</si>
  <si>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</si>
  <si>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</si>
  <si>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</si>
  <si>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</si>
  <si>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</si>
  <si>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</si>
  <si>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</si>
  <si>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</si>
  <si>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</si>
  <si>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</si>
  <si>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</si>
  <si>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</si>
  <si>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</si>
  <si>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</si>
  <si>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</si>
  <si>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</si>
  <si>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</si>
  <si>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</si>
  <si>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</si>
  <si>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</si>
  <si>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</si>
  <si>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</si>
  <si>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</si>
  <si>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</si>
  <si>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</si>
  <si>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</si>
  <si>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</si>
  <si>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</si>
  <si>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</si>
  <si>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</si>
  <si>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</si>
  <si>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</si>
  <si>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</si>
  <si>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</si>
  <si>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</si>
  <si>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</si>
  <si>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</si>
  <si>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</si>
  <si>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</si>
  <si>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</si>
  <si>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</si>
  <si>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</si>
  <si>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</si>
  <si>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</si>
  <si>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</si>
  <si>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</si>
  <si>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</si>
  <si>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</si>
  <si>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</si>
  <si>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</si>
  <si>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</si>
  <si>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</si>
  <si>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</si>
  <si>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</si>
  <si>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</si>
  <si>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</si>
  <si>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</si>
  <si>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</si>
  <si>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</si>
  <si>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</si>
  <si>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</si>
  <si>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</si>
  <si>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</si>
  <si>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</si>
  <si>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</si>
  <si>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</si>
  <si>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</si>
  <si>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</si>
  <si>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</si>
  <si>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</si>
  <si>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</si>
  <si>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</si>
  <si>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</si>
  <si>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</si>
  <si>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</si>
  <si>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</si>
  <si>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</si>
  <si>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</si>
  <si>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</si>
  <si>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</si>
  <si>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</si>
  <si>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</si>
  <si>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</si>
  <si>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</si>
  <si>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</si>
  <si>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</si>
  <si>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с. Барабаш, с. Занадворовка</t>
  </si>
  <si>
    <t>"4189714"</t>
  </si>
  <si>
    <t>pIns_PT_VTAR_A_VOTV</t>
  </si>
  <si>
    <t>pt_ntar_17</t>
  </si>
  <si>
    <t>pt_ter_17</t>
  </si>
  <si>
    <t>pt_cs_17</t>
  </si>
  <si>
    <t>с. Безверхово, п. Перевозное</t>
  </si>
  <si>
    <t>pt_cs_30</t>
  </si>
  <si>
    <t>pt_ist_te_30</t>
  </si>
  <si>
    <t>пгт. Краскино</t>
  </si>
  <si>
    <t>pt_cs_31</t>
  </si>
  <si>
    <t>pt_ist_te_31</t>
  </si>
  <si>
    <t>пгт. Посьет</t>
  </si>
  <si>
    <t>pt_cs_32</t>
  </si>
  <si>
    <t>pt_ist_te_32</t>
  </si>
  <si>
    <t>пгт. Приморский</t>
  </si>
  <si>
    <t>pt_cs_33</t>
  </si>
  <si>
    <t>pt_ist_te_33</t>
  </si>
  <si>
    <t>Добавить централизованную систему для дифференциации</t>
  </si>
  <si>
    <t>с. Многоудобное</t>
  </si>
  <si>
    <t>pt_ter_30</t>
  </si>
  <si>
    <t>pt_cs_34</t>
  </si>
  <si>
    <t>pt_ist_te_34</t>
  </si>
  <si>
    <t>с. Романовка</t>
  </si>
  <si>
    <t>pt_cs_46</t>
  </si>
  <si>
    <t>pt_ist_te_46</t>
  </si>
  <si>
    <t>Кавалеровский МО</t>
  </si>
  <si>
    <t>pt_ter_31</t>
  </si>
  <si>
    <t>pt_cs_35</t>
  </si>
  <si>
    <t>pt_ist_te_35</t>
  </si>
  <si>
    <t>Дальнегорский ГО</t>
  </si>
  <si>
    <t>pt_ter_32</t>
  </si>
  <si>
    <t>pt_cs_36</t>
  </si>
  <si>
    <t>pt_ist_te_36</t>
  </si>
  <si>
    <t>Новошахтинское ГП</t>
  </si>
  <si>
    <t>pt_ter_33</t>
  </si>
  <si>
    <t>pt_cs_37</t>
  </si>
  <si>
    <t>pt_ist_te_37</t>
  </si>
  <si>
    <t xml:space="preserve">пгт. Путятин </t>
  </si>
  <si>
    <t>pt_ter_34</t>
  </si>
  <si>
    <t>pt_cs_38</t>
  </si>
  <si>
    <t>pt_ist_te_38</t>
  </si>
  <si>
    <t>ЗАТО Фокино</t>
  </si>
  <si>
    <t>pt_cs_39</t>
  </si>
  <si>
    <t>pt_ist_te_39</t>
  </si>
  <si>
    <t>ГО Спасск-Дальний</t>
  </si>
  <si>
    <t>pt_ter_35</t>
  </si>
  <si>
    <t>pt_cs_40</t>
  </si>
  <si>
    <t>pt_ist_te_40</t>
  </si>
  <si>
    <t>с. Реттиховка</t>
  </si>
  <si>
    <t>pt_ter_36</t>
  </si>
  <si>
    <t>pt_cs_41</t>
  </si>
  <si>
    <t>pt_ist_te_41</t>
  </si>
  <si>
    <t>с. Майское, с. Дмитриевка</t>
  </si>
  <si>
    <t>pt_cs_43</t>
  </si>
  <si>
    <t>pt_ist_te_43</t>
  </si>
  <si>
    <t>с. Черниговка</t>
  </si>
  <si>
    <t>pt_cs_44</t>
  </si>
  <si>
    <t>pt_ist_te_44</t>
  </si>
  <si>
    <t>с. Снегуровка</t>
  </si>
  <si>
    <t>pt_cs_45</t>
  </si>
  <si>
    <t>pt_ist_te_45</t>
  </si>
  <si>
    <t>с. Анучино</t>
  </si>
  <si>
    <t>pt_ter_37</t>
  </si>
  <si>
    <t>pt_cs_42</t>
  </si>
  <si>
    <t>pt_ist_te_42</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</si>
  <si>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</si>
  <si>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</si>
  <si>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</si>
  <si>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</si>
  <si>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</si>
  <si>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</si>
  <si>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</si>
  <si>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</si>
  <si>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</si>
  <si>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</si>
  <si>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</si>
  <si>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</si>
  <si>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</si>
  <si>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</si>
  <si>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</si>
  <si>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</si>
  <si>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</si>
  <si>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</si>
  <si>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</si>
  <si>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</si>
  <si>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</si>
  <si>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</si>
  <si>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</si>
  <si>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</si>
  <si>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</si>
  <si>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</si>
  <si>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</si>
  <si>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</si>
  <si>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</si>
  <si>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</si>
  <si>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</si>
  <si>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</si>
  <si>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</si>
  <si>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</si>
  <si>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</si>
  <si>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</si>
  <si>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</si>
  <si>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</si>
  <si>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</si>
  <si>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</si>
  <si>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</si>
  <si>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</si>
  <si>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</si>
  <si>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</si>
  <si>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</si>
  <si>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</si>
  <si>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</si>
  <si>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</si>
  <si>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</si>
  <si>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</si>
  <si>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</si>
  <si>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</si>
  <si>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</si>
  <si>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</si>
  <si>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</si>
  <si>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</si>
  <si>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</si>
  <si>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</si>
  <si>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</si>
  <si>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</si>
  <si>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</si>
  <si>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</si>
  <si>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</si>
  <si>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</si>
  <si>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</si>
  <si>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</si>
  <si>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</si>
  <si>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</si>
  <si>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</si>
  <si>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</si>
  <si>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</si>
  <si>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</si>
  <si>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</si>
  <si>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</si>
  <si>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</si>
  <si>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</si>
  <si>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</si>
  <si>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</si>
  <si>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</si>
  <si>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</si>
  <si>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</si>
  <si>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</si>
  <si>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</si>
  <si>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</si>
  <si>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</si>
  <si>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</si>
  <si>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</si>
  <si>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</si>
  <si>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</si>
  <si>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</si>
  <si>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</si>
  <si>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</si>
  <si>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</si>
  <si>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</si>
  <si>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</si>
  <si>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</si>
  <si>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</si>
  <si>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</si>
  <si>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</si>
  <si>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</si>
  <si>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</si>
  <si>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</si>
  <si>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</si>
  <si>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</si>
  <si>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</si>
  <si>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</si>
  <si>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</si>
  <si>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</si>
  <si>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</si>
  <si>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</si>
  <si>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</si>
  <si>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</si>
  <si>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</si>
  <si>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</si>
  <si>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</si>
  <si>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</si>
  <si>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</si>
  <si>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</si>
  <si>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</si>
  <si>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</si>
  <si>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</si>
  <si>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</si>
  <si>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</si>
  <si>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</si>
  <si>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</si>
  <si>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</si>
  <si>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</si>
  <si>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</si>
  <si>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</si>
  <si>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</si>
  <si>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</si>
  <si>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</si>
  <si>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</si>
  <si>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</si>
  <si>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</si>
  <si>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</si>
  <si>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</si>
  <si>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</si>
  <si>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</si>
  <si>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</si>
  <si>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</si>
  <si>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</si>
  <si>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</si>
  <si>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</si>
  <si>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</si>
  <si>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</si>
  <si>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</si>
  <si>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</si>
  <si>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</si>
  <si>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</si>
  <si>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</si>
  <si>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</si>
  <si>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</si>
  <si>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</si>
  <si>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</si>
  <si>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</si>
  <si>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</si>
  <si>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</si>
  <si>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</si>
  <si>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</si>
  <si>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</si>
  <si>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</si>
  <si>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</si>
  <si>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</si>
  <si>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</si>
  <si>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</si>
  <si>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</si>
  <si>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</si>
  <si>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</si>
  <si>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</si>
  <si>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</si>
  <si>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</si>
  <si>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</si>
  <si>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</si>
  <si>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</si>
  <si>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</si>
  <si>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</si>
  <si>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</si>
  <si>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</si>
  <si>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</si>
  <si>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</si>
  <si>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</si>
  <si>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</si>
  <si>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</si>
  <si>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</si>
  <si>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</si>
  <si>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</si>
  <si>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</si>
  <si>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</si>
  <si>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</si>
  <si>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</si>
  <si>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</si>
  <si>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</si>
  <si>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</si>
  <si>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</si>
  <si>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</si>
  <si>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</si>
  <si>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</si>
  <si>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</si>
  <si>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</si>
  <si>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</si>
  <si>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</si>
  <si>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</si>
  <si>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</si>
  <si>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</si>
  <si>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</si>
  <si>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</si>
  <si>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</si>
  <si>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</si>
  <si>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</si>
  <si>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</si>
  <si>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</si>
  <si>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</si>
  <si>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</si>
  <si>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</si>
  <si>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</si>
  <si>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</si>
  <si>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</si>
  <si>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</si>
  <si>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</si>
  <si>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</si>
  <si>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</si>
  <si>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</si>
  <si>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</si>
  <si>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</si>
  <si>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</si>
  <si>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</si>
  <si>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</si>
  <si>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</si>
  <si>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</si>
  <si>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</si>
  <si>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</si>
  <si>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</si>
  <si>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</si>
  <si>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</si>
  <si>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</si>
  <si>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</si>
  <si>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</si>
  <si>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</si>
  <si>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</si>
  <si>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</si>
  <si>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</si>
  <si>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</si>
  <si>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</si>
  <si>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</si>
  <si>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</si>
  <si>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</si>
  <si>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</si>
  <si>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</si>
  <si>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</si>
  <si>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</si>
  <si>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без дифференциации</t>
  </si>
  <si>
    <t>население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</si>
  <si>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</si>
  <si>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</si>
  <si>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</si>
  <si>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</si>
  <si>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</si>
  <si>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</si>
  <si>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</si>
  <si>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</si>
  <si>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</si>
  <si>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</si>
  <si>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</si>
  <si>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</si>
  <si>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</si>
  <si>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</si>
  <si>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</si>
  <si>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</si>
  <si>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</si>
  <si>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</si>
  <si>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</si>
  <si>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</si>
  <si>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</si>
  <si>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</si>
  <si>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</si>
  <si>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</si>
  <si>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</si>
  <si>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</si>
  <si>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</si>
  <si>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</si>
  <si>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</si>
  <si>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</si>
  <si>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</si>
  <si>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</si>
  <si>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</si>
  <si>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</si>
  <si>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</si>
  <si>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</si>
  <si>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</si>
  <si>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</si>
  <si>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</si>
  <si>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</si>
  <si>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</si>
  <si>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</si>
  <si>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</si>
  <si>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</si>
  <si>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</si>
  <si>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</si>
  <si>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</si>
  <si>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</si>
  <si>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</si>
  <si>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</si>
  <si>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</si>
  <si>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</si>
  <si>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</si>
  <si>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</si>
  <si>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</si>
  <si>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</si>
  <si>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</si>
  <si>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</si>
  <si>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</si>
  <si>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</si>
  <si>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</si>
  <si>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</si>
  <si>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</si>
  <si>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</si>
  <si>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</si>
  <si>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</si>
  <si>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</si>
  <si>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</si>
  <si>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</si>
  <si>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</si>
  <si>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</si>
  <si>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</si>
  <si>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</si>
  <si>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</si>
  <si>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</si>
  <si>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</si>
  <si>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</si>
  <si>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</si>
  <si>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</si>
  <si>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</si>
  <si>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</si>
  <si>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</si>
  <si>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</si>
  <si>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</si>
  <si>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</si>
  <si>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</si>
  <si>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</si>
  <si>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</si>
  <si>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</si>
  <si>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</si>
  <si>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</si>
  <si>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</si>
  <si>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</si>
  <si>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</si>
  <si>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</si>
  <si>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</si>
  <si>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</si>
  <si>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</si>
  <si>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</si>
  <si>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</si>
  <si>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</si>
  <si>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</si>
  <si>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</si>
  <si>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</si>
  <si>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</si>
  <si>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</si>
  <si>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</si>
  <si>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</si>
  <si>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</si>
  <si>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</si>
  <si>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</si>
  <si>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</si>
  <si>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</si>
  <si>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</si>
  <si>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</si>
  <si>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</si>
  <si>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</si>
  <si>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</si>
  <si>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</si>
  <si>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</si>
  <si>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</si>
  <si>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</si>
  <si>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</si>
  <si>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</si>
  <si>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</si>
  <si>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</si>
  <si>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</si>
  <si>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</si>
  <si>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</si>
  <si>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</si>
  <si>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</si>
  <si>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</si>
  <si>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</si>
  <si>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</si>
  <si>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</si>
  <si>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</si>
  <si>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</si>
  <si>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</si>
  <si>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</si>
  <si>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</si>
  <si>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</si>
  <si>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</si>
  <si>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</si>
  <si>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</si>
  <si>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</si>
  <si>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</si>
  <si>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</si>
  <si>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</si>
  <si>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</si>
  <si>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</si>
  <si>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</si>
  <si>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</si>
  <si>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</si>
  <si>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</si>
  <si>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</si>
  <si>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</si>
  <si>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</si>
  <si>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</si>
  <si>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</si>
  <si>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</si>
  <si>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</si>
  <si>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</si>
  <si>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</si>
  <si>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</si>
  <si>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</si>
  <si>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</si>
  <si>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</si>
  <si>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</si>
  <si>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</si>
  <si>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</si>
  <si>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</si>
  <si>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</si>
  <si>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</si>
  <si>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</si>
  <si>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</si>
  <si>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</si>
  <si>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</si>
  <si>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</si>
  <si>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</si>
  <si>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</si>
  <si>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</si>
  <si>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</si>
  <si>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</si>
  <si>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</si>
  <si>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</si>
  <si>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</si>
  <si>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</si>
  <si>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</si>
  <si>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</si>
  <si>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</si>
  <si>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</si>
  <si>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</si>
  <si>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</si>
  <si>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</si>
  <si>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</si>
  <si>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</si>
  <si>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</si>
  <si>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</si>
  <si>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</si>
  <si>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</si>
  <si>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</si>
  <si>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</si>
  <si>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</si>
  <si>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</si>
  <si>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</si>
  <si>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</si>
  <si>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</si>
  <si>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</si>
  <si>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</si>
  <si>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</si>
  <si>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</si>
  <si>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</si>
  <si>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</si>
  <si>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</si>
  <si>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</si>
  <si>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</si>
  <si>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</si>
  <si>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</si>
  <si>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</si>
  <si>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</si>
  <si>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</si>
  <si>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</si>
  <si>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</si>
  <si>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</si>
  <si>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</si>
  <si>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</si>
  <si>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</si>
  <si>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</si>
  <si>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</si>
  <si>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</si>
  <si>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</si>
  <si>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</si>
  <si>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</si>
  <si>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</si>
  <si>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</si>
  <si>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</si>
  <si>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</si>
  <si>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</si>
  <si>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</si>
  <si>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</si>
  <si>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</si>
  <si>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</si>
  <si>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</si>
  <si>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</si>
  <si>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</si>
  <si>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</si>
  <si>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</si>
  <si>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</si>
  <si>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</si>
  <si>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</si>
  <si>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</si>
  <si>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</si>
  <si>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</si>
  <si>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</si>
  <si>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</si>
  <si>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</si>
  <si>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</si>
  <si>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</si>
  <si>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</si>
  <si>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</si>
  <si>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</si>
  <si>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</si>
  <si>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</si>
  <si>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</si>
  <si>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</si>
  <si>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</si>
  <si>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</si>
  <si>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</si>
  <si>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</si>
  <si>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</si>
  <si>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</si>
  <si>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</si>
  <si>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</si>
  <si>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</si>
  <si>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</si>
  <si>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</si>
  <si>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</si>
  <si>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</si>
  <si>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</si>
  <si>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</si>
  <si>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</si>
  <si>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</si>
  <si>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</si>
  <si>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</si>
  <si>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</si>
  <si>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</si>
  <si>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</si>
  <si>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</si>
  <si>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</si>
  <si>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</si>
  <si>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</si>
  <si>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</si>
  <si>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</si>
  <si>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</si>
  <si>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</si>
  <si>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</si>
  <si>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</si>
  <si>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</si>
  <si>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</si>
  <si>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</si>
  <si>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</si>
  <si>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</si>
  <si>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</si>
  <si>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</si>
  <si>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</si>
  <si>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</si>
  <si>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</si>
  <si>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</si>
  <si>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</si>
  <si>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</si>
  <si>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</si>
  <si>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</si>
  <si>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</si>
  <si>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</si>
  <si>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</si>
  <si>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</si>
  <si>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</si>
  <si>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</si>
  <si>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</si>
  <si>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</si>
  <si>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</si>
  <si>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</si>
  <si>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</si>
  <si>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</si>
  <si>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</si>
  <si>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</si>
  <si>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</si>
  <si>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</si>
  <si>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</si>
  <si>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</si>
  <si>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</si>
  <si>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</si>
  <si>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</si>
  <si>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</si>
  <si>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</si>
  <si>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</si>
  <si>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</si>
  <si>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</si>
  <si>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</si>
  <si>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</si>
  <si>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</si>
  <si>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</si>
  <si>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</si>
  <si>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</si>
  <si>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</si>
  <si>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</si>
  <si>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</si>
  <si>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</si>
  <si>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</si>
  <si>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</si>
  <si>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</si>
  <si>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</si>
  <si>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</si>
  <si>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</si>
  <si>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</si>
  <si>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</si>
  <si>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</si>
  <si>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</si>
  <si>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</si>
  <si>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</si>
  <si>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</si>
  <si>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</si>
  <si>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</si>
  <si>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</si>
  <si>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</si>
  <si>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</si>
  <si>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</si>
  <si>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</si>
  <si>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</si>
  <si>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</si>
  <si>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</si>
  <si>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</si>
  <si>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</si>
  <si>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</si>
  <si>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</si>
  <si>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</si>
  <si>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</si>
  <si>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</si>
  <si>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</si>
  <si>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</si>
  <si>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</si>
  <si>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</si>
  <si>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</si>
  <si>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</si>
  <si>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</si>
  <si>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</si>
  <si>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</si>
  <si>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</si>
  <si>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</si>
  <si>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</si>
  <si>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</si>
  <si>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</si>
  <si>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</si>
  <si>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</si>
  <si>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</si>
  <si>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</si>
  <si>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</si>
  <si>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</si>
  <si>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</si>
  <si>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</si>
  <si>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</si>
  <si>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</si>
  <si>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</si>
  <si>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</si>
  <si>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</si>
  <si>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</si>
  <si>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</si>
  <si>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</si>
  <si>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</si>
  <si>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</si>
  <si>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</si>
  <si>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</si>
  <si>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</si>
  <si>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</si>
  <si>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</si>
  <si>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</si>
  <si>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</si>
  <si>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</si>
  <si>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</si>
  <si>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</si>
  <si>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</si>
  <si>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</si>
  <si>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</si>
  <si>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</si>
  <si>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</si>
  <si>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</si>
  <si>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</si>
  <si>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</si>
  <si>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</si>
  <si>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</si>
  <si>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</si>
  <si>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</si>
  <si>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</si>
  <si>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</si>
  <si>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</si>
  <si>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</si>
  <si>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</si>
  <si>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</si>
  <si>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</si>
  <si>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</si>
  <si>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</si>
  <si>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</si>
  <si>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</si>
  <si>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</si>
  <si>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</si>
  <si>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</si>
  <si>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</si>
  <si>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</si>
  <si>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</si>
  <si>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</si>
  <si>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</si>
  <si>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</si>
  <si>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</si>
  <si>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</si>
  <si>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</si>
  <si>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</si>
  <si>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</si>
  <si>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</si>
  <si>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</si>
  <si>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</si>
  <si>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</si>
  <si>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</si>
  <si>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</si>
  <si>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</si>
  <si>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</si>
  <si>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</si>
  <si>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</si>
  <si>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</si>
  <si>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</si>
  <si>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</si>
  <si>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</si>
  <si>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</si>
  <si>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</si>
  <si>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</si>
  <si>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</si>
  <si>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</si>
  <si>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</si>
  <si>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</si>
  <si>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</si>
  <si>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</si>
  <si>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</si>
  <si>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</si>
  <si>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</si>
  <si>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</si>
  <si>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</si>
  <si>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</si>
  <si>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</si>
  <si>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</si>
  <si>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</si>
  <si>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</si>
  <si>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</si>
  <si>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</si>
  <si>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</si>
  <si>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</si>
  <si>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</si>
  <si>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</si>
  <si>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</si>
  <si>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</si>
  <si>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</si>
  <si>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</si>
  <si>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</si>
  <si>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</si>
  <si>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</si>
  <si>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</si>
  <si>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</si>
  <si>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</si>
  <si>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</si>
  <si>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</si>
  <si>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</si>
  <si>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</si>
  <si>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</si>
  <si>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</si>
  <si>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</si>
  <si>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</si>
  <si>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</si>
  <si>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</si>
  <si>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</si>
  <si>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</si>
  <si>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</si>
  <si>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</si>
  <si>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</si>
  <si>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</si>
  <si>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</si>
  <si>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</si>
  <si>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</si>
  <si>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</si>
  <si>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</si>
  <si>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</si>
  <si>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</si>
  <si>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</si>
  <si>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</si>
  <si>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</si>
  <si>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</si>
  <si>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</si>
  <si>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</si>
  <si>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</si>
  <si>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</si>
  <si>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</si>
  <si>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</si>
  <si>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</si>
  <si>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</si>
  <si>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</si>
  <si>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</si>
  <si>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</si>
  <si>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</si>
  <si>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</si>
  <si>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</si>
  <si>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</si>
  <si>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</si>
  <si>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</si>
  <si>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</si>
  <si>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</si>
  <si>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</si>
  <si>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</si>
  <si>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</si>
  <si>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</si>
  <si>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</si>
  <si>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</si>
  <si>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</si>
  <si>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</si>
  <si>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</si>
  <si>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</si>
  <si>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</si>
  <si>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</si>
  <si>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</si>
  <si>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</si>
  <si>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</si>
  <si>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</si>
  <si>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</si>
  <si>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</si>
  <si>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</si>
  <si>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</si>
  <si>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</si>
  <si>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</si>
  <si>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</si>
  <si>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</si>
  <si>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</si>
  <si>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</si>
  <si>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</si>
  <si>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</si>
  <si>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</si>
  <si>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</si>
  <si>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</si>
  <si>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</si>
  <si>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</si>
  <si>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</si>
  <si>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</si>
  <si>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</si>
  <si>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</si>
  <si>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</si>
  <si>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</si>
  <si>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</si>
  <si>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</si>
  <si>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</si>
  <si>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</si>
  <si>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</si>
  <si>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</si>
  <si>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</si>
  <si>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</si>
  <si>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</si>
  <si>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</si>
  <si>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</si>
  <si>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</si>
  <si>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</si>
  <si>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</si>
  <si>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</si>
  <si>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</si>
  <si>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</si>
  <si>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</si>
  <si>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</si>
  <si>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</si>
  <si>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</si>
  <si>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</si>
  <si>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</si>
  <si>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</si>
  <si>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</si>
  <si>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</si>
  <si>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</si>
  <si>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</si>
  <si>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</si>
  <si>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</si>
  <si>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</si>
  <si>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</si>
  <si>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</si>
  <si>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</si>
  <si>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</si>
  <si>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</si>
  <si>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</si>
  <si>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</si>
  <si>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</si>
  <si>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https://portal.eias.ru/Portal/DownloadPage.aspx?type=12&amp;guid=1d4136a2-5f4c-4089-8ece-33d332835526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</si>
  <si>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</si>
  <si>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</si>
  <si>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</si>
  <si>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КГУП «Примтеплоэнерго» в соответствии с Федеральным законом от 18.07.2011 № 223-ФЗ (ред. от 31.07.2020) "О закупках товаров, работ, услуг отдельными видами юридических лиц" (с изм. и доп., вступ. в силу с 31.08.2020), утв. Приказом генерального директора КГУП «Примтеплоэнерго» от 05.04.2021 №132 Федеральный закон от 05.04.2013 № 44-ФЗ (ред. от 31.07.2020) "О контрактной системе в сфере закупок товаров, работ, услуг для обеспечения государственных и муниципальных нужд"</t>
  </si>
  <si>
    <t>www.zakupki.gov.ruhttp://www.primtep.ru/partner/purchase/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</si>
  <si>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</si>
  <si>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в информационно-телекоммуникационной сети «Интернет» для размещения информации о месте размещения положения о закупках регулируемой организации - www.zakupki.gov.ru Сайт предприятия - http://www.primtep.ru/partner/purchase/</t>
  </si>
  <si>
    <t>www.zakupki.gov.ru   http://www.primtep.ru/partner/purchase/</t>
  </si>
  <si>
    <t xml:space="preserve">Информация о планировании закупочных
процедур размещена на официальном сайте РФ - www.zakupki.gov.ru
</t>
  </si>
  <si>
    <t>www.zakupki.gov.ru</t>
  </si>
  <si>
    <t xml:space="preserve">Информация о результатах проведения закупочных процедур размещена на официальном сайте РФ - www.zakupki.gov.ru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</si>
  <si>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</si>
  <si>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</si>
  <si>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</si>
  <si>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</si>
  <si>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</si>
  <si>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</si>
  <si>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</si>
  <si>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</si>
  <si>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</si>
  <si>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</si>
  <si>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</si>
  <si>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</si>
  <si>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</si>
  <si>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</si>
  <si>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</si>
  <si>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</si>
  <si>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</si>
  <si>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</si>
  <si>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</si>
  <si>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</si>
  <si>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</si>
  <si>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</si>
  <si>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</si>
  <si>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</si>
  <si>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</si>
  <si>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</si>
  <si>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</si>
  <si>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</si>
  <si>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</si>
  <si>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</si>
  <si>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</si>
  <si>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</si>
  <si>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</si>
  <si>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</si>
  <si>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</si>
  <si>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</si>
  <si>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</si>
  <si>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</si>
  <si>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</si>
  <si>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</si>
  <si>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</si>
  <si>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</si>
  <si>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</si>
  <si>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</si>
  <si>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</si>
  <si>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</si>
  <si>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</si>
  <si>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</si>
  <si>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</si>
  <si>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</si>
  <si>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</si>
  <si>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</si>
  <si>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</si>
  <si>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</si>
  <si>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</si>
  <si>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</si>
  <si>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</si>
  <si>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</si>
  <si>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</si>
  <si>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</si>
  <si>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</si>
  <si>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</si>
  <si>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</si>
  <si>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</si>
  <si>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</si>
  <si>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</si>
  <si>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</si>
  <si>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</si>
  <si>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</si>
  <si>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</si>
  <si>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</si>
  <si>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</si>
  <si>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</si>
  <si>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</si>
  <si>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</si>
  <si>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</si>
  <si>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</si>
  <si>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</si>
  <si>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</si>
  <si>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</si>
  <si>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</si>
  <si>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</si>
  <si>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</si>
  <si>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</si>
  <si>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</si>
  <si>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</si>
  <si>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</si>
  <si>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</si>
  <si>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</si>
  <si>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</si>
  <si>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</si>
  <si>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</si>
  <si>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</si>
  <si>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</si>
  <si>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</si>
  <si>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</si>
  <si>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</si>
  <si>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</si>
  <si>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</si>
  <si>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</si>
  <si>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</si>
  <si>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</si>
  <si>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</si>
  <si>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</si>
  <si>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</si>
  <si>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</si>
  <si>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</si>
  <si>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</si>
  <si>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</si>
  <si>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</si>
  <si>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</si>
  <si>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</si>
  <si>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</si>
  <si>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</si>
  <si>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</si>
  <si>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</si>
  <si>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</si>
  <si>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</si>
  <si>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</si>
  <si>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</si>
  <si>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</si>
  <si>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</si>
  <si>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</si>
  <si>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</si>
  <si>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</si>
  <si>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</si>
  <si>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</si>
  <si>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</si>
  <si>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</si>
  <si>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</si>
  <si>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</si>
  <si>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</si>
  <si>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</si>
  <si>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</si>
  <si>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</si>
  <si>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</si>
  <si>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</si>
  <si>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</si>
  <si>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</si>
  <si>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</si>
  <si>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</si>
  <si>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</si>
  <si>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</si>
  <si>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</si>
  <si>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</si>
  <si>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</si>
  <si>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</si>
  <si>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</si>
  <si>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</si>
  <si>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</si>
  <si>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</si>
  <si>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</si>
  <si>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</si>
  <si>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</si>
  <si>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</si>
  <si>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</si>
  <si>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</si>
  <si>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</si>
  <si>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</si>
  <si>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</si>
  <si>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</si>
  <si>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</si>
  <si>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</si>
  <si>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</si>
  <si>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</si>
  <si>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</si>
  <si>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</si>
  <si>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</si>
  <si>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</si>
  <si>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</si>
  <si>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</si>
  <si>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</si>
  <si>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</si>
  <si>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</si>
  <si>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</si>
  <si>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</si>
  <si>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</si>
  <si>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</si>
  <si>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</si>
  <si>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</si>
  <si>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</si>
  <si>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</si>
  <si>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</si>
  <si>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</si>
  <si>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</si>
  <si>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</si>
  <si>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</si>
  <si>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</si>
  <si>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</si>
  <si>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</si>
  <si>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</si>
  <si>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</si>
  <si>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</si>
  <si>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</si>
  <si>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</si>
  <si>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</si>
  <si>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</si>
  <si>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</si>
  <si>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</si>
  <si>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</si>
  <si>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</si>
  <si>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</si>
  <si>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</si>
  <si>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</si>
  <si>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</si>
  <si>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</si>
  <si>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</si>
  <si>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</si>
  <si>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</si>
  <si>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</si>
  <si>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</si>
  <si>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</si>
  <si>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</si>
  <si>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</si>
  <si>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</si>
  <si>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</si>
  <si>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</si>
  <si>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</si>
  <si>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</si>
  <si>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</si>
  <si>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</si>
  <si>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</si>
  <si>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</si>
  <si>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</si>
  <si>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</si>
  <si>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</si>
  <si>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</si>
  <si>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</si>
  <si>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</si>
  <si>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</si>
  <si>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</si>
  <si>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</si>
  <si>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</si>
  <si>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</si>
  <si>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</si>
  <si>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</si>
  <si>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</si>
  <si>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</si>
  <si>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</si>
  <si>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</si>
  <si>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</si>
  <si>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</si>
  <si>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</si>
  <si>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</si>
  <si>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</si>
  <si>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</si>
  <si>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</si>
  <si>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</si>
  <si>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</si>
  <si>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</si>
  <si>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</si>
  <si>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</si>
  <si>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</si>
  <si>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</si>
  <si>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</si>
  <si>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</si>
  <si>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</si>
  <si>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</si>
  <si>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</si>
  <si>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</si>
  <si>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</si>
  <si>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</si>
  <si>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</si>
  <si>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</si>
  <si>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</si>
  <si>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</si>
  <si>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</si>
  <si>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</si>
  <si>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</si>
  <si>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</si>
  <si>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</si>
  <si>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</si>
  <si>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</si>
  <si>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</si>
  <si>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</si>
  <si>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</si>
  <si>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</si>
  <si>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</si>
  <si>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</si>
  <si>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</si>
  <si>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</si>
  <si>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</si>
  <si>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</si>
  <si>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</si>
  <si>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</si>
  <si>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</si>
  <si>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</si>
  <si>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</si>
  <si>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</si>
  <si>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</si>
  <si>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</si>
  <si>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</si>
  <si>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</si>
  <si>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</si>
  <si>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</si>
  <si>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</si>
  <si>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</si>
  <si>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</si>
  <si>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</si>
  <si>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</si>
  <si>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</si>
  <si>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</si>
  <si>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</si>
  <si>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</si>
  <si>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</si>
  <si>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</si>
  <si>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</si>
  <si>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</si>
  <si>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</si>
  <si>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</si>
  <si>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</si>
  <si>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</si>
  <si>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</si>
  <si>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</si>
  <si>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</si>
  <si>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</si>
  <si>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</si>
  <si>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</si>
  <si>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</si>
  <si>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</si>
  <si>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</si>
  <si>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</si>
  <si>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</si>
  <si>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</si>
  <si>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</si>
  <si>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</si>
  <si>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</si>
  <si>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</si>
  <si>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</si>
  <si>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</si>
  <si>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</si>
  <si>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</si>
  <si>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</si>
  <si>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</si>
  <si>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</si>
  <si>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</si>
  <si>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</si>
  <si>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</si>
  <si>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</si>
  <si>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</si>
  <si>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</si>
  <si>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</si>
  <si>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</si>
  <si>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</si>
  <si>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</si>
  <si>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</si>
  <si>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</si>
  <si>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</si>
  <si>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</si>
  <si>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</si>
  <si>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</si>
  <si>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</si>
  <si>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</si>
  <si>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</si>
  <si>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</si>
  <si>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</si>
  <si>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</si>
  <si>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</si>
  <si>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</si>
  <si>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</si>
  <si>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</si>
  <si>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</si>
  <si>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</si>
  <si>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</si>
  <si>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</si>
  <si>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</si>
  <si>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</si>
  <si>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</si>
  <si>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</si>
  <si>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</si>
  <si>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</si>
  <si>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</si>
  <si>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</si>
  <si>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</si>
  <si>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</si>
  <si>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</si>
  <si>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</si>
  <si>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</si>
  <si>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</si>
  <si>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</si>
  <si>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</si>
  <si>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</si>
  <si>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</si>
  <si>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</si>
  <si>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</si>
  <si>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</si>
  <si>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</si>
  <si>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</si>
  <si>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</si>
  <si>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</si>
  <si>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</si>
  <si>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</si>
  <si>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</si>
  <si>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</si>
  <si>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</si>
  <si>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</si>
  <si>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</si>
  <si>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</si>
  <si>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</si>
  <si>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</si>
  <si>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</si>
  <si>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</si>
  <si>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</si>
  <si>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</si>
  <si>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</si>
  <si>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</si>
  <si>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</si>
  <si>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</si>
  <si>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</si>
  <si>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</si>
  <si>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</si>
  <si>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</si>
  <si>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</si>
  <si>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</si>
  <si>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</si>
  <si>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</si>
  <si>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</si>
  <si>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</si>
  <si>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</si>
  <si>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</si>
  <si>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</si>
  <si>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</si>
  <si>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</si>
  <si>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</si>
  <si>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</si>
  <si>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</si>
  <si>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</si>
  <si>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</si>
  <si>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</si>
  <si>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</si>
  <si>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</si>
  <si>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</si>
  <si>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</si>
  <si>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</si>
  <si>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</si>
  <si>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</si>
  <si>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</si>
  <si>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</si>
  <si>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</si>
  <si>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</si>
  <si>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</si>
  <si>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</si>
  <si>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</si>
  <si>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</si>
  <si>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</si>
  <si>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</si>
  <si>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</si>
  <si>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</si>
  <si>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</si>
  <si>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</si>
  <si>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</si>
  <si>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</si>
  <si>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</si>
  <si>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</si>
  <si>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</si>
  <si>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</si>
  <si>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</si>
  <si>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</si>
  <si>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</si>
  <si>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</si>
  <si>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</si>
  <si>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</si>
  <si>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</si>
  <si>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</si>
  <si>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</si>
  <si>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</si>
  <si>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</si>
  <si>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</si>
  <si>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</si>
  <si>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</si>
  <si>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</si>
  <si>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</si>
  <si>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</si>
  <si>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</si>
  <si>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</si>
  <si>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</si>
  <si>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</si>
  <si>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</si>
  <si>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</si>
  <si>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</si>
  <si>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</si>
  <si>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</si>
  <si>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</si>
  <si>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</si>
  <si>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</si>
  <si>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</si>
  <si>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</si>
  <si>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</si>
  <si>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</si>
  <si>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</si>
  <si>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</si>
  <si>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</si>
  <si>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</si>
  <si>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</si>
  <si>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</si>
  <si>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</si>
  <si>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</si>
  <si>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</si>
  <si>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</si>
  <si>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</si>
  <si>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</si>
  <si>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</si>
  <si>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</si>
  <si>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</si>
  <si>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</si>
  <si>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</si>
  <si>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</si>
  <si>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</si>
  <si>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</si>
  <si>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</si>
  <si>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</si>
  <si>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</si>
  <si>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</si>
  <si>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</si>
  <si>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</si>
  <si>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</si>
  <si>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</si>
  <si>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</si>
  <si>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</si>
  <si>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</si>
  <si>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</si>
  <si>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</si>
  <si>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</si>
  <si>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</si>
  <si>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</si>
  <si>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</si>
  <si>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</si>
  <si>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</si>
  <si>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</si>
  <si>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</si>
  <si>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</si>
  <si>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</si>
  <si>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</si>
  <si>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</si>
  <si>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</si>
  <si>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</si>
  <si>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</si>
  <si>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</si>
  <si>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</si>
  <si>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</si>
  <si>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</si>
  <si>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</si>
  <si>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</si>
  <si>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</si>
  <si>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</si>
  <si>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</si>
  <si>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</si>
  <si>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</si>
  <si>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</si>
  <si>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</si>
  <si>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</si>
  <si>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</si>
  <si>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</si>
  <si>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</si>
  <si>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</si>
  <si>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</si>
  <si>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</si>
  <si>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</si>
  <si>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</si>
  <si>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</si>
  <si>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</si>
  <si>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</si>
  <si>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</si>
  <si>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</si>
  <si>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</si>
  <si>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</si>
  <si>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</si>
  <si>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</si>
  <si>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</si>
  <si>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</si>
  <si>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</si>
  <si>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</si>
  <si>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</si>
  <si>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</si>
  <si>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</si>
  <si>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</si>
  <si>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</si>
  <si>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</si>
  <si>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</si>
  <si>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</si>
  <si>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</si>
  <si>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</si>
  <si>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</si>
  <si>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</si>
  <si>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</si>
  <si>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</si>
  <si>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</si>
  <si>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</si>
  <si>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</si>
  <si>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</si>
  <si>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</si>
  <si>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</si>
  <si>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</si>
  <si>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</si>
  <si>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</si>
  <si>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</si>
  <si>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</si>
  <si>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</si>
  <si>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</si>
  <si>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</si>
  <si>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</si>
  <si>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</si>
  <si>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</si>
  <si>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</si>
  <si>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</si>
  <si>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</si>
  <si>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</si>
  <si>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</si>
  <si>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</si>
  <si>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</si>
  <si>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</si>
  <si>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</si>
  <si>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</si>
  <si>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</si>
  <si>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</si>
  <si>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</si>
  <si>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</si>
  <si>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</si>
  <si>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</si>
  <si>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</si>
  <si>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</si>
  <si>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</si>
  <si>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</si>
  <si>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</si>
  <si>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</si>
  <si>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</si>
  <si>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</si>
  <si>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</si>
  <si>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</si>
  <si>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</si>
  <si>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</si>
  <si>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</si>
  <si>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</si>
  <si>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</si>
  <si>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</si>
  <si>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</si>
  <si>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</si>
  <si>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</si>
  <si>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</si>
  <si>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</si>
  <si>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</si>
  <si>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</si>
  <si>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</si>
  <si>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</si>
  <si>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</si>
  <si>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</si>
  <si>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</si>
  <si>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</si>
  <si>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</si>
  <si>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</si>
  <si>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</si>
  <si>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</si>
  <si>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</si>
  <si>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</si>
  <si>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</si>
  <si>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</si>
  <si>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</si>
  <si>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</si>
  <si>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</si>
  <si>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</si>
  <si>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</si>
  <si>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</si>
  <si>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</si>
  <si>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</si>
  <si>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</si>
  <si>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</si>
  <si>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</si>
  <si>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</si>
  <si>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</si>
  <si>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</si>
  <si>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</si>
  <si>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</si>
  <si>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</si>
  <si>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</si>
  <si>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</si>
  <si>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</si>
  <si>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</si>
  <si>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</si>
  <si>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</si>
  <si>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</si>
  <si>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</si>
  <si>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</si>
  <si>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</si>
  <si>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</si>
  <si>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</si>
  <si>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</si>
  <si>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</si>
  <si>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</si>
  <si>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</si>
  <si>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</si>
  <si>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</si>
  <si>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</si>
  <si>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</si>
  <si>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</si>
  <si>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</si>
  <si>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</si>
  <si>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</si>
  <si>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</si>
  <si>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</si>
  <si>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</si>
  <si>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</si>
  <si>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</si>
  <si>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</si>
  <si>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</si>
  <si>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</si>
  <si>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</si>
  <si>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</si>
  <si>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</si>
  <si>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</si>
  <si>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</si>
  <si>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</si>
  <si>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</si>
  <si>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</si>
  <si>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</si>
  <si>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</si>
  <si>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</si>
  <si>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</si>
  <si>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</si>
  <si>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</si>
  <si>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</si>
  <si>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</si>
  <si>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</si>
  <si>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</si>
  <si>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</si>
  <si>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</si>
  <si>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</si>
  <si>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</si>
  <si>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</si>
  <si>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</si>
  <si>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</si>
  <si>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</si>
  <si>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</si>
  <si>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</si>
  <si>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</si>
  <si>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</si>
  <si>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</si>
  <si>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</si>
  <si>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</si>
  <si>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Предложение об изменении тарифов на водоотведение на 2025-2028 на территории Приморского края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</si>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</sst>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574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4" fillId="0" borderId="0" xfId="0" applyNumberFormat="1" applyFont="1" applyAlignment="1">
      <alignment vertical="center" wrapText="1"/>
    </xf>
    <xf numFmtId="49" fontId="0" fillId="0" borderId="0" xfId="0" applyNumberFormat="1" applyFont="1">
      <alignment vertical="top"/>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19"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2"/>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27" fillId="0" borderId="8" xfId="0" applyNumberFormat="1" applyFont="1" applyBorder="1" applyAlignment="1">
      <alignment vertical="top" wrapText="1"/>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inden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49" fontId="30" fillId="0" borderId="0" xfId="0" applyNumberFormat="1" applyFont="1" applyAlignment="1">
      <alignment horizontal="left" vertical="center"/>
    </xf>
    <xf numFmtId="49" fontId="30" fillId="0" borderId="0" xfId="0" applyNumberFormat="1" applyFont="1">
      <alignment vertical="top"/>
    </xf>
    <xf numFmtId="49" fontId="89" fillId="0" borderId="0" xfId="0" applyNumberFormat="1" applyFont="1">
      <alignment vertical="top"/>
    </xf>
    <xf numFmtId="49" fontId="79" fillId="0" borderId="0" xfId="0" applyNumberFormat="1" applyFont="1" applyAlignment="1">
      <alignment horizontal="left" vertical="center"/>
    </xf>
    <xf numFmtId="49" fontId="30" fillId="0" borderId="0" xfId="0" applyNumberFormat="1" applyFont="1" applyAlignment="1">
      <alignment horizontal="left" vertical="center" inden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protection locked="0"/>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8"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7" fillId="0" borderId="3" xfId="0" applyNumberFormat="1" applyFont="1" applyBorder="1" applyAlignment="1">
      <alignment vertical="top"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5" fillId="13" borderId="4" xfId="13" applyNumberFormat="1" applyFont="1" applyFill="1" applyBorder="1" applyAlignment="1">
      <alignment horizontal="left" vertical="center" wrapText="1"/>
    </xf>
    <xf numFmtId="49" fontId="5" fillId="13" borderId="3" xfId="13" applyNumberFormat="1" applyFont="1" applyFill="1" applyBorder="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21"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dolmatovaev@primtep.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1d4136a2-5f4c-4089-8ece-33d332835526"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4263" customWidth="1"/>
    <col min="2" max="2" width="9.140625" style="4263" customWidth="1"/>
    <col min="3" max="3" width="16.42578125" style="4263" customWidth="1"/>
    <col min="4" max="25" width="6.28515625" style="4263" customWidth="1"/>
    <col min="26" max="28" width="11" style="4263"/>
  </cols>
  <sheetData>
    <row r="1" spans="1:28" ht="15.75" customHeight="1">
      <c r="A1" s="1621"/>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3"/>
      <c r="Z1" s="1622"/>
      <c r="AA1" s="1624" t="s">
        <v>0</v>
      </c>
      <c r="AB1" s="1622"/>
    </row>
    <row r="2" spans="1:28" ht="17.25" customHeight="1">
      <c r="A2" s="1622"/>
      <c r="B2" s="5300" t="s">
        <v>1</v>
      </c>
      <c r="C2" s="5300"/>
      <c r="D2" s="5300"/>
      <c r="E2" s="5300"/>
      <c r="F2" s="5300"/>
      <c r="G2" s="5300"/>
      <c r="H2" s="5300"/>
      <c r="I2" s="5300"/>
      <c r="J2" s="5300"/>
      <c r="K2" s="5300"/>
      <c r="L2" s="5300"/>
      <c r="M2" s="5300"/>
      <c r="N2" s="5300"/>
      <c r="O2" s="5300"/>
      <c r="P2" s="5300"/>
      <c r="Q2" s="1625"/>
      <c r="R2" s="1625"/>
      <c r="S2" s="1625"/>
      <c r="T2" s="1625"/>
      <c r="U2" s="1625"/>
      <c r="V2" s="1626"/>
      <c r="W2" s="1625"/>
      <c r="X2" s="1625"/>
      <c r="Y2" s="1623"/>
      <c r="Z2" s="1622"/>
      <c r="AA2" s="1624"/>
      <c r="AB2" s="1622"/>
    </row>
    <row r="3" spans="1:28" ht="15.75" customHeight="1">
      <c r="A3" s="1622"/>
      <c r="B3" s="5301" t="s">
        <v>2</v>
      </c>
      <c r="C3" s="5301"/>
      <c r="D3" s="5301"/>
      <c r="E3" s="5301"/>
      <c r="F3" s="5301"/>
      <c r="G3" s="5301"/>
      <c r="H3" s="5301"/>
      <c r="I3" s="5301"/>
      <c r="J3" s="5301"/>
      <c r="K3" s="5301"/>
      <c r="L3" s="5301"/>
      <c r="M3" s="5301"/>
      <c r="N3" s="5301"/>
      <c r="O3" s="5301"/>
      <c r="P3" s="5301"/>
      <c r="Q3" s="1626"/>
      <c r="R3" s="1626"/>
      <c r="S3" s="1625"/>
      <c r="T3" s="1625"/>
      <c r="U3" s="1625"/>
      <c r="V3" s="1626"/>
      <c r="W3" s="1626"/>
      <c r="X3" s="1626"/>
      <c r="Y3" s="1626"/>
      <c r="Z3" s="1622"/>
      <c r="AA3" s="1624"/>
      <c r="AB3" s="1622"/>
    </row>
    <row r="4" spans="1:28" ht="17.25" customHeight="1">
      <c r="A4" s="1622"/>
      <c r="B4" s="1627"/>
      <c r="C4" s="1622"/>
      <c r="D4" s="1626"/>
      <c r="E4" s="1626"/>
      <c r="F4" s="1626"/>
      <c r="G4" s="1626"/>
      <c r="H4" s="1626"/>
      <c r="I4" s="1626"/>
      <c r="J4" s="1626"/>
      <c r="K4" s="1626"/>
      <c r="L4" s="1626"/>
      <c r="M4" s="1626"/>
      <c r="N4" s="1626"/>
      <c r="O4" s="1626"/>
      <c r="P4" s="1626"/>
      <c r="Q4" s="1626"/>
      <c r="R4" s="1626"/>
      <c r="S4" s="1626"/>
      <c r="T4" s="1626"/>
      <c r="U4" s="1626"/>
      <c r="V4" s="1626"/>
      <c r="W4" s="1626"/>
      <c r="X4" s="1626"/>
      <c r="Y4" s="1626"/>
      <c r="Z4" s="1622"/>
      <c r="AA4" s="1624"/>
      <c r="AB4" s="1622"/>
    </row>
    <row r="5" spans="1:28" ht="22.5" customHeight="1">
      <c r="A5" s="1628"/>
      <c r="B5" s="530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5303"/>
      <c r="D5" s="5303"/>
      <c r="E5" s="5303"/>
      <c r="F5" s="5303"/>
      <c r="G5" s="5303"/>
      <c r="H5" s="5303"/>
      <c r="I5" s="5303"/>
      <c r="J5" s="5303"/>
      <c r="K5" s="5303"/>
      <c r="L5" s="5303"/>
      <c r="M5" s="5303"/>
      <c r="N5" s="5303"/>
      <c r="O5" s="5303"/>
      <c r="P5" s="5303"/>
      <c r="Q5" s="5303"/>
      <c r="R5" s="5303"/>
      <c r="S5" s="5303"/>
      <c r="T5" s="5303"/>
      <c r="U5" s="5303"/>
      <c r="V5" s="5303"/>
      <c r="W5" s="5303"/>
      <c r="X5" s="5303"/>
      <c r="Y5" s="5304"/>
      <c r="Z5" s="1628"/>
      <c r="AA5" s="1624"/>
      <c r="AB5" s="1628"/>
    </row>
    <row r="6" spans="1:28" ht="15" customHeight="1">
      <c r="A6" s="1629"/>
      <c r="B6" s="5292" t="s">
        <v>3</v>
      </c>
      <c r="C6" s="5295"/>
      <c r="D6" s="1630"/>
      <c r="E6" s="1630"/>
      <c r="F6" s="1630"/>
      <c r="G6" s="1630"/>
      <c r="H6" s="1630"/>
      <c r="I6" s="1630"/>
      <c r="J6" s="1630"/>
      <c r="K6" s="1630"/>
      <c r="L6" s="1630"/>
      <c r="M6" s="1630"/>
      <c r="N6" s="1630"/>
      <c r="O6" s="1630"/>
      <c r="P6" s="1630"/>
      <c r="Q6" s="1630"/>
      <c r="R6" s="1630"/>
      <c r="S6" s="1630"/>
      <c r="T6" s="1630"/>
      <c r="U6" s="1630"/>
      <c r="V6" s="1630"/>
      <c r="W6" s="1630"/>
      <c r="X6" s="1630"/>
      <c r="Y6" s="1631"/>
      <c r="Z6" s="1632"/>
      <c r="AA6" s="1633"/>
      <c r="AB6" s="1633"/>
    </row>
    <row r="7" spans="1:28" ht="15" customHeight="1">
      <c r="A7" s="1629"/>
      <c r="B7" s="5292"/>
      <c r="C7" s="5295"/>
      <c r="D7" s="1630"/>
      <c r="E7" s="1630"/>
      <c r="F7" s="1634"/>
      <c r="G7" s="1634"/>
      <c r="H7" s="1634"/>
      <c r="I7" s="1634"/>
      <c r="J7" s="1634"/>
      <c r="K7" s="1634"/>
      <c r="L7" s="1634"/>
      <c r="M7" s="1634"/>
      <c r="N7" s="1634"/>
      <c r="O7" s="1630"/>
      <c r="P7" s="1634"/>
      <c r="Q7" s="1634"/>
      <c r="R7" s="1634"/>
      <c r="S7" s="1634"/>
      <c r="T7" s="1634"/>
      <c r="U7" s="1634"/>
      <c r="V7" s="1634"/>
      <c r="W7" s="1634"/>
      <c r="X7" s="1634"/>
      <c r="Y7" s="1631"/>
      <c r="Z7" s="1632"/>
      <c r="AA7" s="1633"/>
      <c r="AB7" s="1633"/>
    </row>
    <row r="8" spans="1:28" ht="15" customHeight="1">
      <c r="A8" s="1629"/>
      <c r="B8" s="5292"/>
      <c r="C8" s="5295"/>
      <c r="D8" s="1635"/>
      <c r="E8" s="1636" t="s">
        <v>4</v>
      </c>
      <c r="F8" s="5305" t="s">
        <v>5</v>
      </c>
      <c r="G8" s="5294"/>
      <c r="H8" s="5294"/>
      <c r="I8" s="5294"/>
      <c r="J8" s="5294"/>
      <c r="K8" s="5294"/>
      <c r="L8" s="5294"/>
      <c r="M8" s="5294"/>
      <c r="N8" s="1635"/>
      <c r="O8" s="1637" t="s">
        <v>4</v>
      </c>
      <c r="P8" s="5306" t="s">
        <v>6</v>
      </c>
      <c r="Q8" s="5307"/>
      <c r="R8" s="5307"/>
      <c r="S8" s="5307"/>
      <c r="T8" s="5307"/>
      <c r="U8" s="5307"/>
      <c r="V8" s="5307"/>
      <c r="W8" s="5307"/>
      <c r="X8" s="5307"/>
      <c r="Y8" s="1631"/>
      <c r="Z8" s="1632"/>
      <c r="AA8" s="1633"/>
      <c r="AB8" s="1633"/>
    </row>
    <row r="9" spans="1:28" ht="15" customHeight="1">
      <c r="A9" s="1629"/>
      <c r="B9" s="5292"/>
      <c r="C9" s="5295"/>
      <c r="D9" s="1635"/>
      <c r="E9" s="1638" t="s">
        <v>4</v>
      </c>
      <c r="F9" s="5305" t="s">
        <v>7</v>
      </c>
      <c r="G9" s="5294"/>
      <c r="H9" s="5294"/>
      <c r="I9" s="5294"/>
      <c r="J9" s="5294"/>
      <c r="K9" s="5294"/>
      <c r="L9" s="5294"/>
      <c r="M9" s="5294"/>
      <c r="N9" s="1635"/>
      <c r="O9" s="1639" t="s">
        <v>4</v>
      </c>
      <c r="P9" s="5306" t="s">
        <v>8</v>
      </c>
      <c r="Q9" s="5307"/>
      <c r="R9" s="5307"/>
      <c r="S9" s="5307"/>
      <c r="T9" s="5307"/>
      <c r="U9" s="5307"/>
      <c r="V9" s="5307"/>
      <c r="W9" s="5307"/>
      <c r="X9" s="5307"/>
      <c r="Y9" s="1631"/>
      <c r="Z9" s="1632"/>
      <c r="AA9" s="1633"/>
      <c r="AB9" s="1633"/>
    </row>
    <row r="10" spans="1:28" ht="30" customHeight="1">
      <c r="A10" s="1629"/>
      <c r="B10" s="5292"/>
      <c r="C10" s="5293"/>
      <c r="D10" s="1640"/>
      <c r="E10" s="1641"/>
      <c r="F10" s="1634"/>
      <c r="G10" s="1634"/>
      <c r="H10" s="1634"/>
      <c r="I10" s="1634"/>
      <c r="J10" s="1634"/>
      <c r="K10" s="1634"/>
      <c r="L10" s="1634"/>
      <c r="M10" s="1634"/>
      <c r="N10" s="1634"/>
      <c r="O10" s="1641"/>
      <c r="P10" s="1634"/>
      <c r="Q10" s="1634"/>
      <c r="R10" s="1634"/>
      <c r="S10" s="1634"/>
      <c r="T10" s="1634"/>
      <c r="U10" s="1634"/>
      <c r="V10" s="1634"/>
      <c r="W10" s="1634"/>
      <c r="X10" s="1634"/>
      <c r="Y10" s="1631"/>
      <c r="Z10" s="1632"/>
      <c r="AA10" s="1633"/>
      <c r="AB10" s="1633"/>
    </row>
    <row r="11" spans="1:28" ht="19.5" customHeight="1">
      <c r="A11" s="1629"/>
      <c r="B11" s="1" t="s">
        <v>9</v>
      </c>
      <c r="C11" s="5291"/>
      <c r="D11" s="1635"/>
      <c r="E11" s="1642"/>
      <c r="F11" s="1642"/>
      <c r="G11" s="1642"/>
      <c r="H11" s="1642"/>
      <c r="I11" s="1642"/>
      <c r="J11" s="1642"/>
      <c r="K11" s="1642"/>
      <c r="L11" s="1642"/>
      <c r="M11" s="1642"/>
      <c r="N11" s="1642"/>
      <c r="O11" s="1642"/>
      <c r="P11" s="1642"/>
      <c r="Q11" s="1642"/>
      <c r="R11" s="1642"/>
      <c r="S11" s="1642"/>
      <c r="T11" s="1642"/>
      <c r="U11" s="1642"/>
      <c r="V11" s="1642"/>
      <c r="W11" s="1642"/>
      <c r="X11" s="1642"/>
      <c r="Y11" s="1631"/>
      <c r="Z11" s="1632"/>
      <c r="AA11" s="1633"/>
      <c r="AB11" s="1633"/>
    </row>
    <row r="12" spans="1:28" ht="69" customHeight="1">
      <c r="A12" s="1629"/>
      <c r="B12" s="5292"/>
      <c r="C12" s="5293"/>
      <c r="D12" s="1643"/>
      <c r="E12" s="5294" t="s">
        <v>10</v>
      </c>
      <c r="F12" s="5294"/>
      <c r="G12" s="5294"/>
      <c r="H12" s="5294"/>
      <c r="I12" s="5294"/>
      <c r="J12" s="5294"/>
      <c r="K12" s="5294"/>
      <c r="L12" s="5294"/>
      <c r="M12" s="5294"/>
      <c r="N12" s="5294"/>
      <c r="O12" s="5294"/>
      <c r="P12" s="5294"/>
      <c r="Q12" s="5294"/>
      <c r="R12" s="5294"/>
      <c r="S12" s="5294"/>
      <c r="T12" s="5294"/>
      <c r="U12" s="5294"/>
      <c r="V12" s="5294"/>
      <c r="W12" s="5294"/>
      <c r="X12" s="5294"/>
      <c r="Y12" s="1631"/>
      <c r="Z12" s="1632"/>
      <c r="AA12" s="1633"/>
      <c r="AB12" s="1633"/>
    </row>
    <row r="13" spans="1:28" ht="15" customHeight="1">
      <c r="A13" s="1629"/>
      <c r="B13" s="1" t="s">
        <v>11</v>
      </c>
      <c r="C13" s="5291"/>
      <c r="D13" s="1630"/>
      <c r="E13" s="1642"/>
      <c r="F13" s="1642"/>
      <c r="G13" s="1642"/>
      <c r="H13" s="1642"/>
      <c r="I13" s="1642"/>
      <c r="J13" s="1642"/>
      <c r="K13" s="1642"/>
      <c r="L13" s="1642"/>
      <c r="M13" s="1642"/>
      <c r="N13" s="1642"/>
      <c r="O13" s="1642"/>
      <c r="P13" s="1642"/>
      <c r="Q13" s="1642"/>
      <c r="R13" s="1642"/>
      <c r="S13" s="1642"/>
      <c r="T13" s="1642"/>
      <c r="U13" s="1642"/>
      <c r="V13" s="1642"/>
      <c r="W13" s="1642"/>
      <c r="X13" s="1642"/>
      <c r="Y13" s="1631"/>
      <c r="Z13" s="1632"/>
      <c r="AA13" s="1633"/>
      <c r="AB13" s="1633"/>
    </row>
    <row r="14" spans="1:28" ht="57" customHeight="1">
      <c r="A14" s="1629"/>
      <c r="B14" s="5292"/>
      <c r="C14" s="5295"/>
      <c r="D14" s="1635"/>
      <c r="E14" s="5298" t="s">
        <v>12</v>
      </c>
      <c r="F14" s="5298"/>
      <c r="G14" s="5298"/>
      <c r="H14" s="5298"/>
      <c r="I14" s="5298"/>
      <c r="J14" s="5298"/>
      <c r="K14" s="5298"/>
      <c r="L14" s="5298"/>
      <c r="M14" s="5298"/>
      <c r="N14" s="5298"/>
      <c r="O14" s="5298"/>
      <c r="P14" s="5298"/>
      <c r="Q14" s="5298"/>
      <c r="R14" s="5298"/>
      <c r="S14" s="5298"/>
      <c r="T14" s="5298"/>
      <c r="U14" s="5298"/>
      <c r="V14" s="5298"/>
      <c r="W14" s="5298"/>
      <c r="X14" s="5298"/>
      <c r="Y14" s="1631"/>
      <c r="Z14" s="1632"/>
      <c r="AA14" s="1633"/>
      <c r="AB14" s="1633"/>
    </row>
    <row r="15" spans="1:28" ht="16.5" customHeight="1">
      <c r="A15" s="1629"/>
      <c r="B15" s="5296"/>
      <c r="C15" s="5297"/>
      <c r="D15" s="1644"/>
      <c r="E15" s="1645"/>
      <c r="F15" s="1645"/>
      <c r="G15" s="1645"/>
      <c r="H15" s="1645"/>
      <c r="I15" s="1645"/>
      <c r="J15" s="1645"/>
      <c r="K15" s="1645"/>
      <c r="L15" s="1645"/>
      <c r="M15" s="1645"/>
      <c r="N15" s="1645"/>
      <c r="O15" s="1645"/>
      <c r="P15" s="1645"/>
      <c r="Q15" s="1645"/>
      <c r="R15" s="1645"/>
      <c r="S15" s="1645"/>
      <c r="T15" s="1645"/>
      <c r="U15" s="1645"/>
      <c r="V15" s="1645"/>
      <c r="W15" s="1645"/>
      <c r="X15" s="1645"/>
      <c r="Y15" s="1646"/>
      <c r="Z15" s="1632"/>
      <c r="AA15" s="1647"/>
      <c r="AB15" s="1633"/>
    </row>
    <row r="16" spans="1:28" ht="95.25" customHeight="1">
      <c r="A16" s="1622"/>
      <c r="B16" s="5298"/>
      <c r="C16" s="5299"/>
      <c r="D16" s="5299"/>
      <c r="E16" s="5299"/>
      <c r="F16" s="5299"/>
      <c r="G16" s="5299"/>
      <c r="H16" s="5299"/>
      <c r="I16" s="5299"/>
      <c r="J16" s="5299"/>
      <c r="K16" s="5299"/>
      <c r="L16" s="5299"/>
      <c r="M16" s="5299"/>
      <c r="N16" s="5299"/>
      <c r="O16" s="5299"/>
      <c r="P16" s="5299"/>
      <c r="Q16" s="5299"/>
      <c r="R16" s="5299"/>
      <c r="S16" s="5299"/>
      <c r="T16" s="5299"/>
      <c r="U16" s="5299"/>
      <c r="V16" s="5299"/>
      <c r="W16" s="5299"/>
      <c r="X16" s="5299"/>
      <c r="Y16" s="5299"/>
      <c r="Z16" s="1622"/>
      <c r="AA16" s="1624"/>
      <c r="AB16" s="1622"/>
    </row>
    <row r="17" spans="1:28" ht="14.25" customHeight="1">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c r="W17" s="1622"/>
      <c r="X17" s="1622"/>
      <c r="Y17" s="1623"/>
      <c r="Z17" s="1622"/>
      <c r="AA17" s="1624"/>
      <c r="AB17" s="1622"/>
    </row>
    <row r="18" spans="1:28" ht="14.25" customHeight="1">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c r="W18" s="1622"/>
      <c r="X18" s="1622"/>
      <c r="Y18" s="1623"/>
      <c r="Z18" s="1622"/>
      <c r="AA18" s="1624"/>
      <c r="AB18" s="1622"/>
    </row>
    <row r="19" spans="1:28" ht="14.25" customHeight="1">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c r="W19" s="1622"/>
      <c r="X19" s="1622"/>
      <c r="Y19" s="1623"/>
      <c r="Z19" s="1622"/>
      <c r="AA19" s="1624"/>
      <c r="AB19" s="1622"/>
    </row>
    <row r="20" spans="1:28" ht="14.25" customHeight="1">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c r="W20" s="1622"/>
      <c r="X20" s="1622"/>
      <c r="Y20" s="1623"/>
      <c r="Z20" s="1622"/>
      <c r="AA20" s="1624"/>
      <c r="AB20" s="1622"/>
    </row>
    <row r="21" spans="1:28" ht="14.25" customHeight="1">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c r="W21" s="1622"/>
      <c r="X21" s="1622"/>
      <c r="Y21" s="1623"/>
      <c r="Z21" s="1622"/>
      <c r="AA21" s="1624"/>
      <c r="AB21" s="1622"/>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4265" hidden="1" customWidth="1"/>
    <col min="2" max="3" width="9.140625" style="4267" hidden="1" customWidth="1"/>
    <col min="4" max="4" width="3" style="4280" customWidth="1"/>
    <col min="5" max="5" width="6" style="4267" customWidth="1"/>
    <col min="6" max="6" width="1.7109375" style="4267" hidden="1" customWidth="1"/>
    <col min="7" max="8" width="30" style="4267" customWidth="1"/>
    <col min="9" max="9" width="8" style="4267" customWidth="1"/>
    <col min="10" max="10" width="12.140625" style="4267" customWidth="1"/>
    <col min="11" max="11" width="46" style="4267" customWidth="1"/>
    <col min="12" max="12" width="100" style="4267" customWidth="1"/>
    <col min="13" max="13" width="7" style="4277" customWidth="1"/>
    <col min="14" max="22" width="10" style="4267" customWidth="1"/>
    <col min="23" max="23" width="10.5703125" style="4267" hidden="1"/>
  </cols>
  <sheetData>
    <row r="1" spans="1:23" s="4275" customFormat="1" ht="5.25" hidden="1" customHeight="1">
      <c r="C1" s="449"/>
      <c r="D1" s="432"/>
      <c r="F1" s="449"/>
      <c r="G1" s="427" t="s">
        <v>83</v>
      </c>
      <c r="H1" s="427" t="s">
        <v>84</v>
      </c>
      <c r="I1" s="427" t="s">
        <v>85</v>
      </c>
      <c r="P1" s="427" t="s">
        <v>83</v>
      </c>
      <c r="Q1" s="427" t="s">
        <v>84</v>
      </c>
      <c r="R1" s="427" t="s">
        <v>85</v>
      </c>
      <c r="W1" s="427" t="s">
        <v>14</v>
      </c>
    </row>
    <row r="2" spans="1:23" s="4275" customFormat="1" ht="5.25" hidden="1" customHeight="1">
      <c r="C2" s="449"/>
      <c r="D2" s="432"/>
      <c r="F2" s="449"/>
      <c r="W2" s="427">
        <v>0</v>
      </c>
    </row>
    <row r="3" spans="1:23" s="4266" customFormat="1" ht="5.25" customHeight="1">
      <c r="A3" s="417"/>
      <c r="D3" s="424"/>
      <c r="E3" s="419"/>
      <c r="F3" s="419"/>
      <c r="G3" s="419"/>
      <c r="H3" s="419"/>
      <c r="I3" s="420"/>
      <c r="J3" s="421"/>
      <c r="K3" s="421"/>
      <c r="L3" s="421"/>
      <c r="W3" s="418">
        <v>5</v>
      </c>
    </row>
    <row r="4" spans="1:23" ht="23.25" customHeight="1">
      <c r="D4" s="388"/>
      <c r="E4" s="5321" t="s">
        <v>481</v>
      </c>
      <c r="F4" s="5321"/>
      <c r="G4" s="5322"/>
      <c r="H4" s="5322"/>
      <c r="I4" s="5323"/>
      <c r="J4" s="429"/>
      <c r="K4" s="391"/>
      <c r="L4" s="391"/>
      <c r="W4" s="385">
        <v>22</v>
      </c>
    </row>
    <row r="5" spans="1:23" s="4267" customFormat="1" ht="18" customHeight="1">
      <c r="A5" s="695"/>
      <c r="D5" s="754"/>
      <c r="E5" s="5445" t="str">
        <f>IF(org=0,"Не определено",org)</f>
        <v>КГУП "Примтеплоэнерго"</v>
      </c>
      <c r="F5" s="5445"/>
      <c r="G5" s="5446"/>
      <c r="H5" s="5446"/>
      <c r="I5" s="5447"/>
      <c r="J5" s="429"/>
      <c r="K5" s="391"/>
      <c r="L5" s="391"/>
      <c r="M5" s="445"/>
      <c r="W5" s="694">
        <v>17</v>
      </c>
    </row>
    <row r="6" spans="1:23" s="4266" customFormat="1" ht="11.45" customHeight="1">
      <c r="A6" s="417"/>
      <c r="D6" s="424"/>
      <c r="E6" s="419"/>
      <c r="F6" s="419"/>
      <c r="G6" s="422"/>
      <c r="H6" s="422"/>
      <c r="I6" s="423"/>
      <c r="J6" s="423"/>
      <c r="K6" s="690"/>
      <c r="L6" s="423"/>
      <c r="W6" s="418">
        <v>11</v>
      </c>
    </row>
    <row r="7" spans="1:23" ht="14.65" customHeight="1">
      <c r="D7" s="388"/>
      <c r="E7" s="5430" t="s">
        <v>393</v>
      </c>
      <c r="F7" s="5430"/>
      <c r="G7" s="5431"/>
      <c r="H7" s="5431"/>
      <c r="I7" s="5431"/>
      <c r="J7" s="5431"/>
      <c r="K7" s="5431"/>
      <c r="L7" s="5390" t="s">
        <v>394</v>
      </c>
      <c r="W7" s="385">
        <v>14</v>
      </c>
    </row>
    <row r="8" spans="1:23" ht="48.2" customHeight="1">
      <c r="D8" s="388"/>
      <c r="E8" s="411" t="s">
        <v>88</v>
      </c>
      <c r="F8" s="755"/>
      <c r="G8" s="403" t="s">
        <v>86</v>
      </c>
      <c r="H8" s="403" t="s">
        <v>87</v>
      </c>
      <c r="I8" s="352" t="s">
        <v>85</v>
      </c>
      <c r="J8" s="352" t="s">
        <v>482</v>
      </c>
      <c r="K8" s="352" t="s">
        <v>483</v>
      </c>
      <c r="L8" s="5390"/>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5443" t="s">
        <v>484</v>
      </c>
      <c r="M10" s="445"/>
      <c r="N10" s="443"/>
      <c r="O10" s="443"/>
      <c r="P10" s="443"/>
      <c r="Q10" s="443"/>
      <c r="R10" s="443"/>
      <c r="S10" s="443"/>
      <c r="T10" s="443"/>
      <c r="U10" s="443"/>
      <c r="V10" s="443"/>
      <c r="W10" s="385">
        <v>0</v>
      </c>
    </row>
    <row r="11" spans="1:23" ht="15" hidden="1" customHeight="1">
      <c r="A11" s="5312"/>
      <c r="B11" s="442"/>
      <c r="C11" s="442"/>
      <c r="D11" s="793"/>
      <c r="E11" s="451"/>
      <c r="F11" s="451"/>
      <c r="G11" s="451"/>
      <c r="H11" s="451"/>
      <c r="I11" s="452"/>
      <c r="J11" s="453"/>
      <c r="K11" s="651"/>
      <c r="L11" s="5456"/>
      <c r="M11" s="449"/>
      <c r="N11" s="449"/>
      <c r="O11" s="449"/>
      <c r="P11" s="454"/>
      <c r="Q11" s="454"/>
      <c r="R11" s="455"/>
      <c r="S11" s="449"/>
      <c r="T11" s="449"/>
      <c r="U11" s="449"/>
      <c r="V11" s="449"/>
      <c r="W11" s="385">
        <v>0</v>
      </c>
    </row>
    <row r="12" spans="1:23" s="4266" customFormat="1" ht="15" customHeight="1">
      <c r="A12" s="5312"/>
      <c r="B12" s="442"/>
      <c r="C12" s="442"/>
      <c r="D12" s="794"/>
      <c r="E12" s="755">
        <v>1</v>
      </c>
      <c r="F12" s="792">
        <v>23</v>
      </c>
      <c r="G12" s="791"/>
      <c r="H12" s="725"/>
      <c r="I12" s="723"/>
      <c r="J12" s="458" t="s">
        <v>66</v>
      </c>
      <c r="K12" s="1085" t="s">
        <v>28</v>
      </c>
      <c r="L12" s="5456"/>
      <c r="M12" s="449"/>
      <c r="N12" s="449"/>
      <c r="O12" s="449"/>
      <c r="P12" s="454" t="s">
        <v>485</v>
      </c>
      <c r="Q12" s="454" t="s">
        <v>486</v>
      </c>
      <c r="R12" s="455" t="s">
        <v>487</v>
      </c>
      <c r="S12" s="449" t="s">
        <v>488</v>
      </c>
      <c r="T12" s="449"/>
      <c r="U12" s="449"/>
      <c r="V12" s="449"/>
      <c r="W12" s="418">
        <v>14</v>
      </c>
    </row>
    <row r="13" spans="1:23" ht="15.75" customHeight="1">
      <c r="A13" s="5312"/>
      <c r="B13" s="443"/>
      <c r="D13" s="444"/>
      <c r="E13" s="343"/>
      <c r="F13" s="467"/>
      <c r="G13" s="354" t="s">
        <v>102</v>
      </c>
      <c r="H13" s="342"/>
      <c r="I13" s="342"/>
      <c r="J13" s="342"/>
      <c r="K13" s="341"/>
      <c r="L13" s="5444"/>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82</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5" style="4267" customWidth="1"/>
    <col min="21" max="21" width="0.140625" style="4267" customWidth="1"/>
    <col min="22" max="22" width="24.7109375" style="4267" hidden="1" customWidth="1"/>
    <col min="23" max="23" width="0.140625" style="4267" hidden="1" customWidth="1"/>
    <col min="24" max="25" width="24.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24.7109375" style="4267" customWidth="1"/>
    <col min="31" max="31" width="0.140625" style="4267" customWidth="1"/>
    <col min="32" max="33" width="24" style="4267" customWidth="1"/>
    <col min="34" max="34" width="11" style="4267" customWidth="1"/>
    <col min="35" max="35" width="3.7109375" style="4267" customWidth="1"/>
    <col min="36" max="36" width="11" style="4267" customWidth="1"/>
    <col min="37" max="37" width="8.5703125" style="4267" hidden="1" customWidth="1"/>
    <col min="38" max="38" width="4" style="4267" customWidth="1"/>
    <col min="39" max="39" width="115" style="4267" customWidth="1"/>
    <col min="40" max="44" width="10" style="4275" customWidth="1"/>
    <col min="45" max="45" width="10.5703125" style="4267" hidden="1"/>
  </cols>
  <sheetData>
    <row r="1" spans="1:45" ht="22.5" hidden="1" customHeight="1">
      <c r="Y1" s="265"/>
      <c r="Z1" s="265"/>
      <c r="AG1" s="265"/>
      <c r="AH1" s="265"/>
      <c r="AS1" s="1076" t="s">
        <v>14</v>
      </c>
    </row>
    <row r="2" spans="1:45" ht="21" hidden="1" customHeight="1">
      <c r="A2" s="1284"/>
      <c r="B2" s="1284"/>
      <c r="C2" s="1284"/>
      <c r="D2" s="1284"/>
      <c r="E2" s="5469">
        <v>1</v>
      </c>
      <c r="F2" s="1284"/>
      <c r="G2" s="1284"/>
      <c r="H2" s="1284"/>
      <c r="I2" s="1284"/>
      <c r="J2" s="1284"/>
      <c r="K2" s="1284"/>
      <c r="L2" s="1285"/>
      <c r="M2" s="1286"/>
      <c r="N2" s="1286"/>
      <c r="O2" s="1286"/>
      <c r="P2" s="299"/>
      <c r="Q2" s="298"/>
      <c r="R2" s="293"/>
      <c r="S2" s="1230" t="e">
        <f>INDEX(PT_DIFFERENTIATION_NUM_NTAR,MATCH(A2,PT_DIFFERENTIATION_NTAR_ID,0))</f>
        <v>#N/A</v>
      </c>
      <c r="T2" s="236" t="s">
        <v>155</v>
      </c>
      <c r="U2" s="238"/>
      <c r="V2" s="5463"/>
      <c r="W2" s="5464"/>
      <c r="X2" s="5464"/>
      <c r="Y2" s="5464"/>
      <c r="Z2" s="5464"/>
      <c r="AA2" s="5464"/>
      <c r="AB2" s="5464"/>
      <c r="AC2" s="5465"/>
      <c r="AD2" s="5463" t="e">
        <f>INDEX(PT_DIFFERENTIATION_NTAR,MATCH(A2,PT_DIFFERENTIATION_NTAR_ID,0))</f>
        <v>#N/A</v>
      </c>
      <c r="AE2" s="5464"/>
      <c r="AF2" s="5464"/>
      <c r="AG2" s="5464"/>
      <c r="AH2" s="5464"/>
      <c r="AI2" s="5464"/>
      <c r="AJ2" s="5464"/>
      <c r="AK2" s="5464"/>
      <c r="AL2" s="5465"/>
      <c r="AM2" s="1179" t="s">
        <v>489</v>
      </c>
      <c r="AO2" s="438"/>
      <c r="AP2" s="438" t="str">
        <f t="shared" ref="AP2:AP15" si="0">IF(T2="","",T2)</f>
        <v>Наименование тарифа</v>
      </c>
      <c r="AQ2" s="438"/>
      <c r="AR2" s="438"/>
      <c r="AS2" s="1076">
        <v>0</v>
      </c>
    </row>
    <row r="3" spans="1:45" ht="21" hidden="1" customHeight="1">
      <c r="A3" s="1284"/>
      <c r="B3" s="1284"/>
      <c r="C3" s="1284"/>
      <c r="D3" s="1284"/>
      <c r="E3" s="5470"/>
      <c r="F3" s="5469">
        <v>1</v>
      </c>
      <c r="G3" s="1284"/>
      <c r="H3" s="1284"/>
      <c r="I3" s="1284"/>
      <c r="J3" s="1284"/>
      <c r="K3" s="1284"/>
      <c r="L3" s="1285"/>
      <c r="M3" s="1286"/>
      <c r="N3" s="1286"/>
      <c r="O3" s="1286"/>
      <c r="P3" s="1225"/>
      <c r="Q3" s="290"/>
      <c r="R3" s="291"/>
      <c r="S3" s="1230" t="e">
        <f>INDEX(PT_DIFFERENTIATION_NUM_TER,MATCH(B3,PT_DIFFERENTIATION_TER_ID,0))</f>
        <v>#N/A</v>
      </c>
      <c r="T3" s="246" t="s">
        <v>490</v>
      </c>
      <c r="U3" s="238"/>
      <c r="V3" s="5463"/>
      <c r="W3" s="5464"/>
      <c r="X3" s="5464"/>
      <c r="Y3" s="5464"/>
      <c r="Z3" s="5464"/>
      <c r="AA3" s="5464"/>
      <c r="AB3" s="5464"/>
      <c r="AC3" s="5465"/>
      <c r="AD3" s="5463" t="e">
        <f>INDEX(PT_DIFFERENTIATION_TER,MATCH(B3,PT_DIFFERENTIATION_TER_ID,0))</f>
        <v>#N/A</v>
      </c>
      <c r="AE3" s="5464"/>
      <c r="AF3" s="5464"/>
      <c r="AG3" s="5464"/>
      <c r="AH3" s="5464"/>
      <c r="AI3" s="5464"/>
      <c r="AJ3" s="5464"/>
      <c r="AK3" s="5464"/>
      <c r="AL3" s="5465"/>
      <c r="AM3" s="1179" t="s">
        <v>491</v>
      </c>
      <c r="AO3" s="438"/>
      <c r="AP3" s="438" t="str">
        <f t="shared" si="0"/>
        <v>Территория действия тарифа</v>
      </c>
      <c r="AQ3" s="438"/>
      <c r="AR3" s="438"/>
      <c r="AS3" s="1076">
        <v>0</v>
      </c>
    </row>
    <row r="4" spans="1:45" ht="23.25" hidden="1" customHeight="1">
      <c r="A4" s="1284"/>
      <c r="B4" s="1284"/>
      <c r="C4" s="1284"/>
      <c r="D4" s="1284"/>
      <c r="E4" s="5470"/>
      <c r="F4" s="5470"/>
      <c r="G4" s="5469">
        <v>1</v>
      </c>
      <c r="H4" s="1284"/>
      <c r="I4" s="1284"/>
      <c r="J4" s="1284"/>
      <c r="K4" s="1284"/>
      <c r="L4" s="1285"/>
      <c r="M4" s="1286"/>
      <c r="N4" s="1286"/>
      <c r="O4" s="1286"/>
      <c r="P4" s="292"/>
      <c r="Q4" s="290"/>
      <c r="R4" s="291"/>
      <c r="S4" s="1230" t="e">
        <f>INDEX(PT_DIFFERENTIATION_NUM_CS,MATCH(C4,PT_DIFFERENTIATION_CS_ID,0))</f>
        <v>#N/A</v>
      </c>
      <c r="T4" s="247" t="s">
        <v>492</v>
      </c>
      <c r="U4" s="238"/>
      <c r="V4" s="5463"/>
      <c r="W4" s="5464"/>
      <c r="X4" s="5464"/>
      <c r="Y4" s="5464"/>
      <c r="Z4" s="5464"/>
      <c r="AA4" s="5464"/>
      <c r="AB4" s="5464"/>
      <c r="AC4" s="5465"/>
      <c r="AD4" s="5463" t="e">
        <f>INDEX(PT_DIFFERENTIATION_CS,MATCH(C4,PT_DIFFERENTIATION_CS_ID,0))</f>
        <v>#N/A</v>
      </c>
      <c r="AE4" s="5464"/>
      <c r="AF4" s="5464"/>
      <c r="AG4" s="5464"/>
      <c r="AH4" s="5464"/>
      <c r="AI4" s="5464"/>
      <c r="AJ4" s="5464"/>
      <c r="AK4" s="5464"/>
      <c r="AL4" s="5465"/>
      <c r="AM4" s="1179" t="s">
        <v>493</v>
      </c>
      <c r="AO4" s="438"/>
      <c r="AP4" s="438" t="str">
        <f t="shared" si="0"/>
        <v xml:space="preserve">Наименование системы теплоснабжения </v>
      </c>
      <c r="AQ4" s="438"/>
      <c r="AR4" s="438"/>
      <c r="AS4" s="1076">
        <v>0</v>
      </c>
    </row>
    <row r="5" spans="1:45" ht="21" hidden="1" customHeight="1">
      <c r="A5" s="1284"/>
      <c r="B5" s="1284"/>
      <c r="C5" s="1284"/>
      <c r="D5" s="1284"/>
      <c r="E5" s="5470"/>
      <c r="F5" s="5470"/>
      <c r="G5" s="5470"/>
      <c r="H5" s="5469">
        <v>1</v>
      </c>
      <c r="I5" s="1284"/>
      <c r="J5" s="1284"/>
      <c r="K5" s="1284"/>
      <c r="L5" s="1285"/>
      <c r="M5" s="1286"/>
      <c r="N5" s="1286"/>
      <c r="O5" s="1286"/>
      <c r="P5" s="292"/>
      <c r="Q5" s="290"/>
      <c r="R5" s="291"/>
      <c r="S5" s="1230" t="e">
        <f>INDEX(PT_DIFFERENTIATION_NUM_IST_TE,MATCH(D5,PT_DIFFERENTIATION_IST_TE_ID,0))</f>
        <v>#N/A</v>
      </c>
      <c r="T5" s="248" t="s">
        <v>494</v>
      </c>
      <c r="U5" s="238"/>
      <c r="V5" s="5463"/>
      <c r="W5" s="5464"/>
      <c r="X5" s="5464"/>
      <c r="Y5" s="5464"/>
      <c r="Z5" s="5464"/>
      <c r="AA5" s="5464"/>
      <c r="AB5" s="5464"/>
      <c r="AC5" s="5465"/>
      <c r="AD5" s="5463" t="e">
        <f>INDEX(PT_DIFFERENTIATION_IST_TE,MATCH(D5,PT_DIFFERENTIATION_IST_TE_ID,0))</f>
        <v>#N/A</v>
      </c>
      <c r="AE5" s="5464"/>
      <c r="AF5" s="5464"/>
      <c r="AG5" s="5464"/>
      <c r="AH5" s="5464"/>
      <c r="AI5" s="5464"/>
      <c r="AJ5" s="5464"/>
      <c r="AK5" s="5464"/>
      <c r="AL5" s="5465"/>
      <c r="AM5" s="1179" t="s">
        <v>495</v>
      </c>
      <c r="AO5" s="438"/>
      <c r="AP5" s="438" t="str">
        <f t="shared" si="0"/>
        <v xml:space="preserve">Источник тепловой энергии  </v>
      </c>
      <c r="AQ5" s="438"/>
      <c r="AR5" s="438"/>
      <c r="AS5" s="1076">
        <v>0</v>
      </c>
    </row>
    <row r="6" spans="1:45" ht="47.25" hidden="1" customHeight="1">
      <c r="A6" s="1284"/>
      <c r="B6" s="1284"/>
      <c r="C6" s="1284"/>
      <c r="D6" s="1284"/>
      <c r="E6" s="5470"/>
      <c r="F6" s="5470"/>
      <c r="G6" s="5470"/>
      <c r="H6" s="5470"/>
      <c r="I6" s="5471" t="e">
        <f>S5&amp;".1"</f>
        <v>#N/A</v>
      </c>
      <c r="J6" s="1284"/>
      <c r="K6" s="1284"/>
      <c r="L6" s="1285" t="s">
        <v>496</v>
      </c>
      <c r="M6" s="475"/>
      <c r="P6" s="5473">
        <v>1</v>
      </c>
      <c r="Q6" s="1226"/>
      <c r="R6" s="294"/>
      <c r="S6" s="1230" t="e">
        <f>$I6</f>
        <v>#N/A</v>
      </c>
      <c r="T6" s="223" t="s">
        <v>497</v>
      </c>
      <c r="U6" s="238"/>
      <c r="V6" s="5457"/>
      <c r="W6" s="5458"/>
      <c r="X6" s="5458"/>
      <c r="Y6" s="5458"/>
      <c r="Z6" s="5458"/>
      <c r="AA6" s="5458"/>
      <c r="AB6" s="5458"/>
      <c r="AC6" s="5459"/>
      <c r="AD6" s="5457"/>
      <c r="AE6" s="5458"/>
      <c r="AF6" s="5458"/>
      <c r="AG6" s="5458"/>
      <c r="AH6" s="5458"/>
      <c r="AI6" s="5458"/>
      <c r="AJ6" s="5458"/>
      <c r="AK6" s="5458"/>
      <c r="AL6" s="5459"/>
      <c r="AM6" s="1179" t="s">
        <v>498</v>
      </c>
      <c r="AO6" s="438"/>
      <c r="AP6" s="438" t="str">
        <f t="shared" si="0"/>
        <v>Схема подключения теплопотребляющей установки к коллектору источника тепловой энергии</v>
      </c>
      <c r="AQ6" s="438"/>
      <c r="AR6" s="438"/>
      <c r="AS6" s="1076">
        <v>0</v>
      </c>
    </row>
    <row r="7" spans="1:45" ht="21" hidden="1" customHeight="1">
      <c r="A7" s="1284"/>
      <c r="B7" s="1284"/>
      <c r="C7" s="1284"/>
      <c r="D7" s="1284"/>
      <c r="E7" s="5470"/>
      <c r="F7" s="5470"/>
      <c r="G7" s="5470"/>
      <c r="H7" s="5470"/>
      <c r="I7" s="5472"/>
      <c r="J7" s="5471" t="e">
        <f>I6&amp;".1"</f>
        <v>#N/A</v>
      </c>
      <c r="K7" s="1284"/>
      <c r="L7" s="1285" t="s">
        <v>499</v>
      </c>
      <c r="M7" s="475"/>
      <c r="N7" s="1287"/>
      <c r="P7" s="5473"/>
      <c r="Q7" s="5473">
        <v>1</v>
      </c>
      <c r="R7" s="295"/>
      <c r="S7" s="1230" t="e">
        <f>$J7</f>
        <v>#N/A</v>
      </c>
      <c r="T7" s="224" t="s">
        <v>500</v>
      </c>
      <c r="U7" s="238"/>
      <c r="V7" s="5457"/>
      <c r="W7" s="5458"/>
      <c r="X7" s="5458"/>
      <c r="Y7" s="5458"/>
      <c r="Z7" s="5458"/>
      <c r="AA7" s="5458"/>
      <c r="AB7" s="5458"/>
      <c r="AC7" s="5459"/>
      <c r="AD7" s="5457"/>
      <c r="AE7" s="5458"/>
      <c r="AF7" s="5458"/>
      <c r="AG7" s="5458"/>
      <c r="AH7" s="5458"/>
      <c r="AI7" s="5458"/>
      <c r="AJ7" s="5458"/>
      <c r="AK7" s="5458"/>
      <c r="AL7" s="5459"/>
      <c r="AM7" s="1179" t="s">
        <v>501</v>
      </c>
      <c r="AO7" s="438"/>
      <c r="AP7" s="438" t="str">
        <f t="shared" si="0"/>
        <v>Группа потребителей</v>
      </c>
      <c r="AQ7" s="438"/>
      <c r="AR7" s="438"/>
      <c r="AS7" s="1076">
        <v>0</v>
      </c>
    </row>
    <row r="8" spans="1:45" ht="21" hidden="1" customHeight="1">
      <c r="A8" s="1284"/>
      <c r="B8" s="1284"/>
      <c r="C8" s="1284"/>
      <c r="D8" s="1284"/>
      <c r="E8" s="5470"/>
      <c r="F8" s="5470"/>
      <c r="G8" s="5470"/>
      <c r="H8" s="5470"/>
      <c r="I8" s="5472"/>
      <c r="J8" s="5472"/>
      <c r="K8" s="5471" t="e">
        <f>J7&amp;".1"</f>
        <v>#N/A</v>
      </c>
      <c r="L8" s="1285" t="s">
        <v>502</v>
      </c>
      <c r="M8" s="475"/>
      <c r="N8" s="1287"/>
      <c r="O8" s="1287"/>
      <c r="P8" s="5473"/>
      <c r="Q8" s="5473"/>
      <c r="R8" s="295">
        <v>1</v>
      </c>
      <c r="S8" s="1230" t="e">
        <f>$K8</f>
        <v>#N/A</v>
      </c>
      <c r="T8" s="1268"/>
      <c r="U8" s="238"/>
      <c r="V8" s="689"/>
      <c r="W8" s="263"/>
      <c r="X8" s="689"/>
      <c r="Y8" s="1178"/>
      <c r="Z8" s="5474"/>
      <c r="AA8" s="5338" t="s">
        <v>66</v>
      </c>
      <c r="AB8" s="5474"/>
      <c r="AC8" s="5338" t="s">
        <v>66</v>
      </c>
      <c r="AD8" s="689"/>
      <c r="AE8" s="263"/>
      <c r="AF8" s="689"/>
      <c r="AG8" s="1178"/>
      <c r="AH8" s="5474"/>
      <c r="AI8" s="5338" t="s">
        <v>66</v>
      </c>
      <c r="AJ8" s="5474"/>
      <c r="AK8" s="5338" t="s">
        <v>66</v>
      </c>
      <c r="AL8" s="263"/>
      <c r="AM8" s="5492" t="s">
        <v>503</v>
      </c>
      <c r="AN8" s="449" t="e">
        <f ca="1">STRCHECKDATE(V9:AL9)</f>
        <v>#NAME?</v>
      </c>
      <c r="AO8" s="438"/>
      <c r="AP8" s="438" t="str">
        <f t="shared" si="0"/>
        <v/>
      </c>
      <c r="AQ8" s="438"/>
      <c r="AR8" s="438"/>
      <c r="AS8" s="1076">
        <v>0</v>
      </c>
    </row>
    <row r="9" spans="1:45" ht="0.75" hidden="1" customHeight="1">
      <c r="A9" s="1284"/>
      <c r="B9" s="1284"/>
      <c r="C9" s="1284"/>
      <c r="D9" s="1284"/>
      <c r="E9" s="5470"/>
      <c r="F9" s="5470"/>
      <c r="G9" s="5470"/>
      <c r="H9" s="5470"/>
      <c r="I9" s="5472"/>
      <c r="J9" s="5472"/>
      <c r="K9" s="5471"/>
      <c r="L9" s="1285"/>
      <c r="M9" s="475"/>
      <c r="N9" s="1287"/>
      <c r="O9" s="1287"/>
      <c r="P9" s="5473"/>
      <c r="Q9" s="5473"/>
      <c r="R9" s="295"/>
      <c r="S9" s="1227"/>
      <c r="T9" s="238"/>
      <c r="U9" s="238"/>
      <c r="V9" s="263"/>
      <c r="W9" s="263"/>
      <c r="X9" s="263"/>
      <c r="Y9" s="266" t="str">
        <f>Z8&amp;"-"&amp;AB8</f>
        <v>-</v>
      </c>
      <c r="Z9" s="5475"/>
      <c r="AA9" s="5338"/>
      <c r="AB9" s="5475"/>
      <c r="AC9" s="5338"/>
      <c r="AD9" s="263"/>
      <c r="AE9" s="263"/>
      <c r="AF9" s="263"/>
      <c r="AG9" s="266" t="str">
        <f>AH8&amp;"-"&amp;AJ8</f>
        <v>-</v>
      </c>
      <c r="AH9" s="5475"/>
      <c r="AI9" s="5338"/>
      <c r="AJ9" s="5475"/>
      <c r="AK9" s="5338"/>
      <c r="AL9" s="263"/>
      <c r="AM9" s="5493"/>
      <c r="AO9" s="438"/>
      <c r="AP9" s="438" t="str">
        <f t="shared" si="0"/>
        <v/>
      </c>
      <c r="AQ9" s="438"/>
      <c r="AR9" s="438"/>
      <c r="AS9" s="1076">
        <v>0</v>
      </c>
    </row>
    <row r="10" spans="1:45" ht="15" hidden="1" customHeight="1">
      <c r="A10" s="1284"/>
      <c r="B10" s="1284"/>
      <c r="C10" s="1284"/>
      <c r="D10" s="1284"/>
      <c r="E10" s="5470"/>
      <c r="F10" s="5470"/>
      <c r="G10" s="5470"/>
      <c r="H10" s="5470"/>
      <c r="I10" s="5472"/>
      <c r="J10" s="5471"/>
      <c r="K10" s="1284"/>
      <c r="L10" s="1285"/>
      <c r="M10" s="475"/>
      <c r="N10" s="1287"/>
      <c r="P10" s="5473"/>
      <c r="Q10" s="5473"/>
      <c r="R10" s="294"/>
      <c r="S10" s="1199"/>
      <c r="T10" s="226" t="s">
        <v>504</v>
      </c>
      <c r="U10" s="305"/>
      <c r="V10" s="305"/>
      <c r="W10" s="305"/>
      <c r="X10" s="305"/>
      <c r="Y10" s="305"/>
      <c r="Z10" s="305"/>
      <c r="AA10" s="305"/>
      <c r="AB10" s="305"/>
      <c r="AC10" s="305"/>
      <c r="AD10" s="305"/>
      <c r="AE10" s="305"/>
      <c r="AF10" s="305"/>
      <c r="AG10" s="305"/>
      <c r="AH10" s="305"/>
      <c r="AI10" s="305"/>
      <c r="AJ10" s="305"/>
      <c r="AK10" s="305"/>
      <c r="AL10" s="262"/>
      <c r="AM10" s="5494"/>
      <c r="AO10" s="438"/>
      <c r="AP10" s="438" t="str">
        <f t="shared" si="0"/>
        <v>Добавить вид теплоносителя (параметры теплоносителя)</v>
      </c>
      <c r="AQ10" s="438"/>
      <c r="AR10" s="438"/>
      <c r="AS10" s="1076">
        <v>0</v>
      </c>
    </row>
    <row r="11" spans="1:45" ht="15" hidden="1" customHeight="1">
      <c r="A11" s="1284"/>
      <c r="B11" s="1284"/>
      <c r="C11" s="1284"/>
      <c r="D11" s="1284"/>
      <c r="E11" s="5470"/>
      <c r="F11" s="5470"/>
      <c r="G11" s="5470"/>
      <c r="H11" s="5470"/>
      <c r="I11" s="5471"/>
      <c r="J11" s="1284"/>
      <c r="K11" s="1284"/>
      <c r="L11" s="1285"/>
      <c r="M11" s="475"/>
      <c r="P11" s="5473"/>
      <c r="Q11" s="1226"/>
      <c r="R11" s="294"/>
      <c r="S11" s="1199"/>
      <c r="T11" s="225" t="s">
        <v>505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76">
        <v>0</v>
      </c>
    </row>
    <row r="12" spans="1:45" ht="14.25" hidden="1" customHeight="1">
      <c r="A12" s="1284"/>
      <c r="B12" s="1284"/>
      <c r="C12" s="1284"/>
      <c r="D12" s="1284"/>
      <c r="E12" s="5470"/>
      <c r="F12" s="5470"/>
      <c r="G12" s="5470"/>
      <c r="H12" s="5469"/>
      <c r="I12" s="1284"/>
      <c r="J12" s="1284"/>
      <c r="K12" s="1284"/>
      <c r="L12" s="1285"/>
      <c r="M12" s="1286"/>
      <c r="N12" s="1286"/>
      <c r="O12" s="475"/>
      <c r="P12" s="298"/>
      <c r="Q12" s="313"/>
      <c r="R12" s="293"/>
      <c r="S12" s="1199"/>
      <c r="T12" s="303" t="s">
        <v>506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76">
        <v>0</v>
      </c>
    </row>
    <row r="13" spans="1:45" s="4275" customFormat="1" ht="0.75" hidden="1" customHeight="1">
      <c r="A13" s="1235"/>
      <c r="B13" s="1235"/>
      <c r="C13" s="1235"/>
      <c r="D13" s="1235"/>
      <c r="E13" s="5470"/>
      <c r="F13" s="5470"/>
      <c r="G13" s="5469"/>
      <c r="H13" s="1235"/>
      <c r="I13" s="1235"/>
      <c r="J13" s="1235"/>
      <c r="K13" s="1235"/>
      <c r="L13" s="1260"/>
      <c r="M13" s="1236"/>
      <c r="N13" s="1236"/>
      <c r="P13" s="1237"/>
      <c r="Q13" s="1238"/>
      <c r="R13" s="1237"/>
      <c r="S13" s="1239"/>
      <c r="T13" s="1240" t="s">
        <v>507</v>
      </c>
      <c r="U13" s="1241"/>
      <c r="V13" s="1241"/>
      <c r="W13" s="1241"/>
      <c r="X13" s="1241"/>
      <c r="Y13" s="1241"/>
      <c r="Z13" s="1241"/>
      <c r="AA13" s="1241"/>
      <c r="AB13" s="1241"/>
      <c r="AC13" s="1241"/>
      <c r="AD13" s="1241"/>
      <c r="AE13" s="1241"/>
      <c r="AF13" s="1241"/>
      <c r="AG13" s="1241"/>
      <c r="AH13" s="1241"/>
      <c r="AI13" s="1241"/>
      <c r="AJ13" s="1241"/>
      <c r="AK13" s="1241"/>
      <c r="AL13" s="1241"/>
      <c r="AM13" s="1241"/>
      <c r="AO13" s="721"/>
      <c r="AP13" s="721" t="str">
        <f t="shared" si="0"/>
        <v>Добавить источник для дифференциации</v>
      </c>
      <c r="AQ13" s="721"/>
      <c r="AR13" s="721"/>
      <c r="AS13" s="456">
        <v>0</v>
      </c>
    </row>
    <row r="14" spans="1:45" s="4275" customFormat="1" ht="0.75" hidden="1" customHeight="1">
      <c r="A14" s="1235"/>
      <c r="B14" s="1235"/>
      <c r="C14" s="1235"/>
      <c r="D14" s="1235"/>
      <c r="E14" s="5470"/>
      <c r="F14" s="5469"/>
      <c r="G14" s="1235"/>
      <c r="H14" s="1235"/>
      <c r="I14" s="1235"/>
      <c r="J14" s="1235"/>
      <c r="K14" s="1235"/>
      <c r="L14" s="1260"/>
      <c r="M14" s="1242"/>
      <c r="N14" s="1242"/>
      <c r="P14" s="1237"/>
      <c r="Q14" s="1238"/>
      <c r="R14" s="1237"/>
      <c r="S14" s="1243"/>
      <c r="T14" s="1244" t="s">
        <v>312</v>
      </c>
      <c r="U14" s="1245"/>
      <c r="V14" s="1245"/>
      <c r="W14" s="1245"/>
      <c r="X14" s="1245"/>
      <c r="Y14" s="1245"/>
      <c r="Z14" s="1245"/>
      <c r="AA14" s="1245"/>
      <c r="AB14" s="1245"/>
      <c r="AC14" s="1245"/>
      <c r="AD14" s="1245"/>
      <c r="AE14" s="1245"/>
      <c r="AF14" s="1245"/>
      <c r="AG14" s="1245"/>
      <c r="AH14" s="1245"/>
      <c r="AI14" s="1245"/>
      <c r="AJ14" s="1245"/>
      <c r="AK14" s="1245"/>
      <c r="AL14" s="1245"/>
      <c r="AM14" s="1245"/>
      <c r="AO14" s="721"/>
      <c r="AP14" s="721" t="str">
        <f t="shared" si="0"/>
        <v>Добавить централизованную систему для дифференциации</v>
      </c>
      <c r="AQ14" s="721"/>
      <c r="AR14" s="721"/>
      <c r="AS14" s="456">
        <v>0</v>
      </c>
    </row>
    <row r="15" spans="1:45" s="4275" customFormat="1" ht="0.75" hidden="1" customHeight="1">
      <c r="A15" s="1235"/>
      <c r="B15" s="1235"/>
      <c r="C15" s="1235"/>
      <c r="D15" s="1235"/>
      <c r="E15" s="5469"/>
      <c r="F15" s="1235"/>
      <c r="G15" s="1235"/>
      <c r="H15" s="1235"/>
      <c r="I15" s="1235"/>
      <c r="J15" s="1235"/>
      <c r="K15" s="1235"/>
      <c r="L15" s="1260"/>
      <c r="M15" s="1242"/>
      <c r="N15" s="1242"/>
      <c r="P15" s="1237"/>
      <c r="Q15" s="1238"/>
      <c r="R15" s="1237"/>
      <c r="S15" s="1243"/>
      <c r="T15" s="1246" t="s">
        <v>360</v>
      </c>
      <c r="U15" s="1245"/>
      <c r="V15" s="1245"/>
      <c r="W15" s="1245"/>
      <c r="X15" s="1245"/>
      <c r="Y15" s="1245"/>
      <c r="Z15" s="1245"/>
      <c r="AA15" s="1245"/>
      <c r="AB15" s="1245"/>
      <c r="AC15" s="1245"/>
      <c r="AD15" s="1245"/>
      <c r="AE15" s="1245"/>
      <c r="AF15" s="1245"/>
      <c r="AG15" s="1245"/>
      <c r="AH15" s="1245"/>
      <c r="AI15" s="1245"/>
      <c r="AJ15" s="1245"/>
      <c r="AK15" s="1245"/>
      <c r="AL15" s="1245"/>
      <c r="AM15" s="1245"/>
      <c r="AO15" s="721"/>
      <c r="AP15" s="721" t="str">
        <f t="shared" si="0"/>
        <v>Добавить территорию для дифференциации</v>
      </c>
      <c r="AQ15" s="721"/>
      <c r="AR15" s="721"/>
      <c r="AS15" s="456">
        <v>0</v>
      </c>
    </row>
    <row r="16" spans="1:45" ht="14.25" hidden="1" customHeight="1">
      <c r="AC16" s="265"/>
      <c r="AK16" s="265"/>
      <c r="AS16" s="1076">
        <v>0</v>
      </c>
    </row>
    <row r="17" spans="1:45" ht="14.25" hidden="1" customHeight="1">
      <c r="P17" s="1232"/>
      <c r="AD17" s="1281"/>
      <c r="AE17" s="1281"/>
      <c r="AF17" s="1281"/>
      <c r="AG17" s="1282"/>
      <c r="AH17" s="5467"/>
      <c r="AI17" s="5466" t="s">
        <v>66</v>
      </c>
      <c r="AJ17" s="5467"/>
      <c r="AK17" s="5466" t="s">
        <v>66</v>
      </c>
      <c r="AS17" s="1076">
        <v>0</v>
      </c>
    </row>
    <row r="18" spans="1:45" ht="14.25" hidden="1" customHeight="1">
      <c r="P18" s="1232"/>
      <c r="AD18" s="1281"/>
      <c r="AE18" s="1281"/>
      <c r="AF18" s="1281"/>
      <c r="AG18" s="266" t="str">
        <f>AH17&amp;"-"&amp;AJ17</f>
        <v>-</v>
      </c>
      <c r="AH18" s="5466"/>
      <c r="AI18" s="5466"/>
      <c r="AJ18" s="5466"/>
      <c r="AK18" s="5466"/>
      <c r="AS18" s="1076">
        <v>0</v>
      </c>
    </row>
    <row r="19" spans="1:45" ht="14.25" hidden="1" customHeight="1">
      <c r="P19" s="1232"/>
      <c r="AK19" s="265"/>
      <c r="AS19" s="1076">
        <v>0</v>
      </c>
    </row>
    <row r="20" spans="1:45" s="4274" customFormat="1" ht="22.5" hidden="1" customHeight="1">
      <c r="L20" s="1250"/>
      <c r="M20" s="1283"/>
      <c r="N20" s="1283"/>
      <c r="O20" s="1288" t="s">
        <v>508</v>
      </c>
      <c r="P20" s="1283"/>
      <c r="Q20" s="1292"/>
      <c r="R20" s="1292"/>
      <c r="S20" s="667"/>
      <c r="Z20" s="1288"/>
      <c r="AB20" s="1288"/>
      <c r="AC20" s="1287"/>
      <c r="AH20" s="1288"/>
      <c r="AJ20" s="1288"/>
      <c r="AK20" s="1287"/>
      <c r="AN20" s="449"/>
      <c r="AO20" s="449"/>
      <c r="AP20" s="449"/>
      <c r="AQ20" s="449"/>
      <c r="AR20" s="449"/>
      <c r="AS20" s="1081">
        <v>0</v>
      </c>
    </row>
    <row r="21" spans="1:45" s="4274" customFormat="1" ht="14.25" hidden="1" customHeight="1">
      <c r="L21" s="1250"/>
      <c r="M21" s="1283"/>
      <c r="N21" s="1283"/>
      <c r="O21" s="1283"/>
      <c r="P21" s="1283"/>
      <c r="Q21" s="1292"/>
      <c r="R21" s="1292"/>
      <c r="S21" s="667"/>
      <c r="AC21" s="1287"/>
      <c r="AK21" s="1287"/>
      <c r="AN21" s="449"/>
      <c r="AO21" s="449"/>
      <c r="AP21" s="449"/>
      <c r="AQ21" s="449"/>
      <c r="AR21" s="449"/>
      <c r="AS21" s="1081">
        <v>0</v>
      </c>
    </row>
    <row r="22" spans="1:45" s="4274" customFormat="1" ht="14.25" hidden="1" customHeight="1">
      <c r="L22" s="1250"/>
      <c r="M22" s="1283"/>
      <c r="N22" s="1283"/>
      <c r="O22" s="1285" t="s">
        <v>509</v>
      </c>
      <c r="P22" s="1283"/>
      <c r="Q22" s="1292"/>
      <c r="R22" s="1292"/>
      <c r="S22" s="667"/>
      <c r="T22" s="1081" t="s">
        <v>510</v>
      </c>
      <c r="AA22" s="124" t="s">
        <v>511</v>
      </c>
      <c r="AC22" s="124" t="s">
        <v>512</v>
      </c>
      <c r="AD22" s="1081" t="s">
        <v>510</v>
      </c>
      <c r="AI22" s="124" t="s">
        <v>513</v>
      </c>
      <c r="AK22" s="124" t="s">
        <v>512</v>
      </c>
      <c r="AN22" s="449"/>
      <c r="AO22" s="449"/>
      <c r="AP22" s="449"/>
      <c r="AQ22" s="449"/>
      <c r="AR22" s="449"/>
      <c r="AS22" s="1081">
        <v>0</v>
      </c>
    </row>
    <row r="23" spans="1:45" ht="14.25" hidden="1" customHeight="1">
      <c r="O23" s="1285"/>
      <c r="P23" s="1232"/>
      <c r="AS23" s="1076">
        <v>0</v>
      </c>
    </row>
    <row r="24" spans="1:45" ht="14.25" hidden="1" customHeight="1">
      <c r="O24" s="1285"/>
      <c r="P24" s="1232"/>
      <c r="AS24" s="1076">
        <v>0</v>
      </c>
    </row>
    <row r="25" spans="1:45" ht="14.65" customHeight="1">
      <c r="Q25" s="314"/>
      <c r="R25" s="314"/>
      <c r="S25" s="1196"/>
      <c r="T25" s="301"/>
      <c r="U25" s="301"/>
      <c r="V25" s="447"/>
      <c r="W25" s="447"/>
      <c r="X25" s="447"/>
      <c r="Y25" s="447"/>
      <c r="Z25" s="447"/>
      <c r="AA25" s="447"/>
      <c r="AB25" s="447"/>
      <c r="AC25" s="447"/>
      <c r="AD25" s="447"/>
      <c r="AE25" s="447"/>
      <c r="AF25" s="447"/>
      <c r="AG25" s="447"/>
      <c r="AH25" s="447"/>
      <c r="AI25" s="447"/>
      <c r="AJ25" s="447"/>
      <c r="AK25" s="447"/>
      <c r="AS25" s="1076">
        <v>14</v>
      </c>
    </row>
    <row r="26" spans="1:45" ht="14.65" customHeight="1">
      <c r="Q26" s="314"/>
      <c r="R26" s="314"/>
      <c r="S26" s="5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450"/>
      <c r="U26" s="5450"/>
      <c r="V26" s="5450"/>
      <c r="W26" s="5450"/>
      <c r="X26" s="5450"/>
      <c r="Y26" s="5450"/>
      <c r="Z26" s="5450"/>
      <c r="AA26" s="5450"/>
      <c r="AB26" s="5450"/>
      <c r="AC26" s="5450"/>
      <c r="AD26" s="5450"/>
      <c r="AE26" s="5450"/>
      <c r="AF26" s="5450"/>
      <c r="AG26" s="5450"/>
      <c r="AH26" s="5450"/>
      <c r="AI26" s="5450"/>
      <c r="AJ26" s="5450"/>
      <c r="AK26" s="1164"/>
      <c r="AS26" s="1076">
        <v>14</v>
      </c>
    </row>
    <row r="27" spans="1:45" ht="14.65" customHeight="1">
      <c r="Q27" s="314"/>
      <c r="R27" s="314"/>
      <c r="S27" s="5423" t="str">
        <f>IF(org=0,"Не определено",org)</f>
        <v>КГУП "Примтеплоэнерго"</v>
      </c>
      <c r="T27" s="5423"/>
      <c r="U27" s="5423"/>
      <c r="V27" s="5423"/>
      <c r="W27" s="5423"/>
      <c r="X27" s="5423"/>
      <c r="Y27" s="5423"/>
      <c r="Z27" s="5423"/>
      <c r="AA27" s="5423"/>
      <c r="AB27" s="5423"/>
      <c r="AC27" s="5423"/>
      <c r="AD27" s="5423"/>
      <c r="AE27" s="5423"/>
      <c r="AF27" s="5423"/>
      <c r="AG27" s="5423"/>
      <c r="AH27" s="5423"/>
      <c r="AI27" s="5423"/>
      <c r="AJ27" s="5423"/>
      <c r="AK27" s="1164"/>
      <c r="AS27" s="1076">
        <v>14</v>
      </c>
    </row>
    <row r="28" spans="1:45" ht="14.25" hidden="1" customHeight="1">
      <c r="Q28" s="314"/>
      <c r="R28" s="314"/>
      <c r="S28" s="1196"/>
      <c r="T28" s="301"/>
      <c r="U28" s="301"/>
      <c r="V28" s="260"/>
      <c r="W28" s="260"/>
      <c r="X28" s="260"/>
      <c r="Y28" s="260"/>
      <c r="Z28" s="260"/>
      <c r="AA28" s="260"/>
      <c r="AB28" s="260"/>
      <c r="AC28" s="260"/>
      <c r="AD28" s="260"/>
      <c r="AE28" s="260"/>
      <c r="AF28" s="260"/>
      <c r="AG28" s="260"/>
      <c r="AH28" s="260"/>
      <c r="AI28" s="260"/>
      <c r="AJ28" s="260"/>
      <c r="AK28" s="260"/>
      <c r="AL28" s="447"/>
      <c r="AS28" s="1076">
        <v>0</v>
      </c>
    </row>
    <row r="29" spans="1:45" s="4284" customFormat="1" ht="25.5" hidden="1" customHeight="1">
      <c r="A29" s="1289"/>
      <c r="B29" s="1289"/>
      <c r="C29" s="1289"/>
      <c r="D29" s="1289"/>
      <c r="E29" s="1289"/>
      <c r="F29" s="1289"/>
      <c r="G29" s="1289"/>
      <c r="H29" s="1289"/>
      <c r="I29" s="1289"/>
      <c r="J29" s="1289"/>
      <c r="K29" s="1289"/>
      <c r="L29" s="1290"/>
      <c r="M29" s="1289"/>
      <c r="N29" s="1289"/>
      <c r="O29" s="1289"/>
      <c r="S29" s="5460" t="s">
        <v>42</v>
      </c>
      <c r="T29" s="5460"/>
      <c r="U29" s="1293"/>
      <c r="V29" s="5462" t="str">
        <f>IF(TITLE_NAME_OR_PR_CHANGE="",IF(TITLE_NAME_OR_PR="","",TITLE_NAME_OR_PR),TITLE_NAME_OR_PR_CHANGE)</f>
        <v/>
      </c>
      <c r="W29" s="5462"/>
      <c r="X29" s="5462"/>
      <c r="Y29" s="5462"/>
      <c r="Z29" s="5462"/>
      <c r="AA29" s="5462"/>
      <c r="AB29" s="5462"/>
      <c r="AC29" s="264"/>
      <c r="AD29" s="5462" t="str">
        <f>IF(TITLE_NAME_OR_PR_CHANGE="",IF(TITLE_NAME_OR_PR="","",TITLE_NAME_OR_PR),TITLE_NAME_OR_PR_CHANGE)</f>
        <v/>
      </c>
      <c r="AE29" s="5462"/>
      <c r="AF29" s="5462"/>
      <c r="AG29" s="5462"/>
      <c r="AH29" s="5462"/>
      <c r="AI29" s="5462"/>
      <c r="AJ29" s="5462"/>
      <c r="AK29" s="264"/>
      <c r="AL29" s="264"/>
      <c r="AM29" s="218"/>
      <c r="AN29" s="306"/>
      <c r="AO29" s="306"/>
      <c r="AP29" s="306"/>
      <c r="AQ29" s="306"/>
      <c r="AR29" s="306"/>
      <c r="AS29" s="356">
        <v>0</v>
      </c>
    </row>
    <row r="30" spans="1:45" s="4284" customFormat="1" ht="18.75" hidden="1" customHeight="1">
      <c r="A30" s="1289"/>
      <c r="B30" s="1289"/>
      <c r="C30" s="1289"/>
      <c r="D30" s="1289"/>
      <c r="E30" s="1289"/>
      <c r="F30" s="1289"/>
      <c r="G30" s="1289"/>
      <c r="H30" s="1289"/>
      <c r="I30" s="1289"/>
      <c r="J30" s="1289"/>
      <c r="K30" s="1289"/>
      <c r="L30" s="1290"/>
      <c r="M30" s="1289"/>
      <c r="N30" s="1289"/>
      <c r="O30" s="1289"/>
      <c r="S30" s="5460" t="s">
        <v>514</v>
      </c>
      <c r="T30" s="5460"/>
      <c r="U30" s="1293"/>
      <c r="V30" s="5461">
        <f>IF(TITLE_DATE_PR_CHANGE="",IF(TITLE_DATE_PR="","",TITLE_DATE_PR),TITLE_DATE_PR_CHANGE)</f>
        <v>45649.605891203704</v>
      </c>
      <c r="W30" s="5461"/>
      <c r="X30" s="5461"/>
      <c r="Y30" s="5461"/>
      <c r="Z30" s="5461"/>
      <c r="AA30" s="5461"/>
      <c r="AB30" s="5461"/>
      <c r="AC30" s="264"/>
      <c r="AD30" s="5461">
        <f>IF(TITLE_DATE_PR_CHANGE="",IF(TITLE_DATE_PR="","",TITLE_DATE_PR),TITLE_DATE_PR_CHANGE)</f>
        <v>45649.605891203704</v>
      </c>
      <c r="AE30" s="5461"/>
      <c r="AF30" s="5461"/>
      <c r="AG30" s="5461"/>
      <c r="AH30" s="5461"/>
      <c r="AI30" s="5461"/>
      <c r="AJ30" s="5461"/>
      <c r="AK30" s="264"/>
      <c r="AL30" s="264"/>
      <c r="AM30" s="218"/>
      <c r="AN30" s="306"/>
      <c r="AO30" s="306"/>
      <c r="AP30" s="306"/>
      <c r="AQ30" s="306"/>
      <c r="AR30" s="306"/>
      <c r="AS30" s="356">
        <v>0</v>
      </c>
    </row>
    <row r="31" spans="1:45" s="4284" customFormat="1" ht="18.75" hidden="1" customHeight="1">
      <c r="A31" s="1289"/>
      <c r="B31" s="1289"/>
      <c r="C31" s="1289"/>
      <c r="D31" s="1289"/>
      <c r="E31" s="1289"/>
      <c r="F31" s="1289"/>
      <c r="G31" s="1289"/>
      <c r="H31" s="1289"/>
      <c r="I31" s="1289"/>
      <c r="J31" s="1289"/>
      <c r="K31" s="1289"/>
      <c r="L31" s="1290"/>
      <c r="M31" s="1289"/>
      <c r="N31" s="1289"/>
      <c r="O31" s="1289"/>
      <c r="S31" s="5460" t="s">
        <v>515</v>
      </c>
      <c r="T31" s="5460"/>
      <c r="U31" s="1293"/>
      <c r="V31" s="5462" t="str">
        <f>IF(TITLE_NUMBER_PR_CHANGE="",IF(TITLE_NUMBER_PR="","",TITLE_NUMBER_PR),TITLE_NUMBER_PR_CHANGE)</f>
        <v>27-6414</v>
      </c>
      <c r="W31" s="5462"/>
      <c r="X31" s="5462"/>
      <c r="Y31" s="5462"/>
      <c r="Z31" s="5462"/>
      <c r="AA31" s="5462"/>
      <c r="AB31" s="5462"/>
      <c r="AC31" s="264"/>
      <c r="AD31" s="5462" t="str">
        <f>IF(TITLE_NUMBER_PR_CHANGE="",IF(TITLE_NUMBER_PR="","",TITLE_NUMBER_PR),TITLE_NUMBER_PR_CHANGE)</f>
        <v>27-6414</v>
      </c>
      <c r="AE31" s="5462"/>
      <c r="AF31" s="5462"/>
      <c r="AG31" s="5462"/>
      <c r="AH31" s="5462"/>
      <c r="AI31" s="5462"/>
      <c r="AJ31" s="5462"/>
      <c r="AK31" s="264"/>
      <c r="AL31" s="264"/>
      <c r="AM31" s="218"/>
      <c r="AN31" s="306"/>
      <c r="AO31" s="306"/>
      <c r="AP31" s="306"/>
      <c r="AQ31" s="306"/>
      <c r="AR31" s="306"/>
      <c r="AS31" s="356">
        <v>0</v>
      </c>
    </row>
    <row r="32" spans="1:45" s="4284" customFormat="1" ht="18.75" hidden="1" customHeight="1">
      <c r="A32" s="1289"/>
      <c r="B32" s="1289"/>
      <c r="C32" s="1289"/>
      <c r="D32" s="1289"/>
      <c r="E32" s="1289"/>
      <c r="F32" s="1289"/>
      <c r="G32" s="1289"/>
      <c r="H32" s="1289"/>
      <c r="I32" s="1289"/>
      <c r="J32" s="1289"/>
      <c r="K32" s="1289"/>
      <c r="L32" s="1290"/>
      <c r="M32" s="1289"/>
      <c r="N32" s="1289"/>
      <c r="O32" s="1289"/>
      <c r="S32" s="5460" t="s">
        <v>43</v>
      </c>
      <c r="T32" s="5460"/>
      <c r="U32" s="1293"/>
      <c r="V32" s="5462" t="str">
        <f>IF(TITLE_IST_PUB_CHANGE="",IF(TITLE_IST_PUB="","",TITLE_IST_PUB),TITLE_IST_PUB_CHANGE)</f>
        <v/>
      </c>
      <c r="W32" s="5462"/>
      <c r="X32" s="5462"/>
      <c r="Y32" s="5462"/>
      <c r="Z32" s="5462"/>
      <c r="AA32" s="5462"/>
      <c r="AB32" s="5462"/>
      <c r="AC32" s="264"/>
      <c r="AD32" s="5462" t="str">
        <f>IF(TITLE_IST_PUB_CHANGE="",IF(TITLE_IST_PUB="","",TITLE_IST_PUB),TITLE_IST_PUB_CHANGE)</f>
        <v/>
      </c>
      <c r="AE32" s="5462"/>
      <c r="AF32" s="5462"/>
      <c r="AG32" s="5462"/>
      <c r="AH32" s="5462"/>
      <c r="AI32" s="5462"/>
      <c r="AJ32" s="5462"/>
      <c r="AK32" s="264"/>
      <c r="AL32" s="264"/>
      <c r="AM32" s="218"/>
      <c r="AN32" s="306"/>
      <c r="AO32" s="306"/>
      <c r="AP32" s="306"/>
      <c r="AQ32" s="306"/>
      <c r="AR32" s="306"/>
      <c r="AS32" s="356">
        <v>0</v>
      </c>
    </row>
    <row r="33" spans="1:45" ht="14.25" customHeight="1">
      <c r="P33" s="1249"/>
      <c r="Q33" s="314"/>
      <c r="R33" s="314"/>
      <c r="S33" s="1196"/>
      <c r="T33" s="301"/>
      <c r="U33" s="301"/>
      <c r="V33" s="260"/>
      <c r="W33" s="260"/>
      <c r="X33" s="260"/>
      <c r="Y33" s="260"/>
      <c r="Z33" s="260"/>
      <c r="AA33" s="260"/>
      <c r="AB33" s="260"/>
      <c r="AC33" s="260"/>
      <c r="AD33" s="260"/>
      <c r="AE33" s="260"/>
      <c r="AF33" s="260"/>
      <c r="AG33" s="260"/>
      <c r="AH33" s="260"/>
      <c r="AI33" s="260"/>
      <c r="AJ33" s="260"/>
      <c r="AK33" s="260"/>
      <c r="AL33" s="447"/>
      <c r="AS33" s="1076">
        <v>0</v>
      </c>
    </row>
    <row r="34" spans="1:45" s="4284" customFormat="1" ht="18.75" customHeight="1">
      <c r="A34" s="1289"/>
      <c r="B34" s="1289"/>
      <c r="C34" s="1289"/>
      <c r="D34" s="1289"/>
      <c r="E34" s="1289"/>
      <c r="F34" s="1289"/>
      <c r="G34" s="1289"/>
      <c r="H34" s="1289"/>
      <c r="I34" s="1289"/>
      <c r="J34" s="1289"/>
      <c r="K34" s="1289"/>
      <c r="L34" s="1290"/>
      <c r="M34" s="1289"/>
      <c r="N34" s="1289"/>
      <c r="O34" s="1289"/>
      <c r="S34" s="5460" t="s">
        <v>516</v>
      </c>
      <c r="T34" s="5460"/>
      <c r="U34" s="1293"/>
      <c r="V34" s="5461">
        <f>IF(TITLE_DATE_PR_CHANGE="",IF(TITLE_DATE_PR="","",TITLE_DATE_PR),TITLE_DATE_PR_CHANGE)</f>
        <v>45649.605891203704</v>
      </c>
      <c r="W34" s="5461"/>
      <c r="X34" s="5461"/>
      <c r="Y34" s="5461"/>
      <c r="Z34" s="5461"/>
      <c r="AA34" s="5461"/>
      <c r="AB34" s="5461"/>
      <c r="AC34" s="264"/>
      <c r="AD34" s="5461">
        <f>IF(TITLE_DATE_PR_CHANGE="",IF(TITLE_DATE_PR="","",TITLE_DATE_PR),TITLE_DATE_PR_CHANGE)</f>
        <v>45649.605891203704</v>
      </c>
      <c r="AE34" s="5461"/>
      <c r="AF34" s="5461"/>
      <c r="AG34" s="5461"/>
      <c r="AH34" s="5461"/>
      <c r="AI34" s="5461"/>
      <c r="AJ34" s="5461"/>
      <c r="AK34" s="264"/>
      <c r="AL34" s="264"/>
      <c r="AM34" s="218"/>
      <c r="AN34" s="306"/>
      <c r="AO34" s="306"/>
      <c r="AP34" s="306"/>
      <c r="AQ34" s="306"/>
      <c r="AR34" s="306"/>
      <c r="AS34" s="356">
        <v>0</v>
      </c>
    </row>
    <row r="35" spans="1:45" s="4284" customFormat="1" ht="18.75" customHeight="1">
      <c r="A35" s="1289"/>
      <c r="B35" s="1289"/>
      <c r="C35" s="1289"/>
      <c r="D35" s="1289"/>
      <c r="E35" s="1289"/>
      <c r="F35" s="1289"/>
      <c r="G35" s="1289"/>
      <c r="H35" s="1289"/>
      <c r="I35" s="1289"/>
      <c r="J35" s="1289"/>
      <c r="K35" s="1289"/>
      <c r="L35" s="1290"/>
      <c r="M35" s="1289"/>
      <c r="N35" s="1289"/>
      <c r="O35" s="1289"/>
      <c r="S35" s="5460" t="s">
        <v>517</v>
      </c>
      <c r="T35" s="5460"/>
      <c r="U35" s="1293"/>
      <c r="V35" s="5462" t="str">
        <f>IF(TITLE_NUMBER_PR_CHANGE="",IF(TITLE_NUMBER_PR="","",TITLE_NUMBER_PR),TITLE_NUMBER_PR_CHANGE)</f>
        <v>27-6414</v>
      </c>
      <c r="W35" s="5462"/>
      <c r="X35" s="5462"/>
      <c r="Y35" s="5462"/>
      <c r="Z35" s="5462"/>
      <c r="AA35" s="5462"/>
      <c r="AB35" s="5462"/>
      <c r="AC35" s="264"/>
      <c r="AD35" s="5462" t="str">
        <f>IF(TITLE_NUMBER_PR_CHANGE="",IF(TITLE_NUMBER_PR="","",TITLE_NUMBER_PR),TITLE_NUMBER_PR_CHANGE)</f>
        <v>27-6414</v>
      </c>
      <c r="AE35" s="5462"/>
      <c r="AF35" s="5462"/>
      <c r="AG35" s="5462"/>
      <c r="AH35" s="5462"/>
      <c r="AI35" s="5462"/>
      <c r="AJ35" s="5462"/>
      <c r="AK35" s="264"/>
      <c r="AL35" s="264"/>
      <c r="AM35" s="218"/>
      <c r="AN35" s="306"/>
      <c r="AO35" s="306"/>
      <c r="AP35" s="306"/>
      <c r="AQ35" s="306"/>
      <c r="AR35" s="306"/>
      <c r="AS35" s="356">
        <v>0</v>
      </c>
    </row>
    <row r="36" spans="1:45" s="4284" customFormat="1" ht="0" hidden="1" customHeight="1">
      <c r="A36" s="1289"/>
      <c r="B36" s="1289"/>
      <c r="C36" s="1289"/>
      <c r="D36" s="1289"/>
      <c r="E36" s="1289"/>
      <c r="F36" s="1289"/>
      <c r="G36" s="1289"/>
      <c r="H36" s="1289"/>
      <c r="I36" s="1289"/>
      <c r="J36" s="1289"/>
      <c r="K36" s="1289"/>
      <c r="L36" s="1290"/>
      <c r="M36" s="1289"/>
      <c r="N36" s="1289"/>
      <c r="O36" s="1289"/>
      <c r="S36" s="261"/>
      <c r="T36" s="261"/>
      <c r="U36" s="1140"/>
      <c r="V36" s="264"/>
      <c r="W36" s="264"/>
      <c r="X36" s="264"/>
      <c r="Y36" s="264"/>
      <c r="Z36" s="264"/>
      <c r="AA36" s="264"/>
      <c r="AB36" s="264"/>
      <c r="AC36" s="216" t="s">
        <v>518</v>
      </c>
      <c r="AD36" s="264"/>
      <c r="AE36" s="264"/>
      <c r="AF36" s="264"/>
      <c r="AG36" s="264"/>
      <c r="AH36" s="264"/>
      <c r="AI36" s="264"/>
      <c r="AJ36" s="264"/>
      <c r="AK36" s="216" t="s">
        <v>518</v>
      </c>
      <c r="AN36" s="306"/>
      <c r="AO36" s="306"/>
      <c r="AP36" s="306"/>
      <c r="AQ36" s="306"/>
      <c r="AR36" s="306"/>
      <c r="AS36" s="356">
        <v>0</v>
      </c>
    </row>
    <row r="37" spans="1:45" ht="14.65" customHeight="1">
      <c r="Q37" s="314"/>
      <c r="R37" s="314"/>
      <c r="S37" s="1196"/>
      <c r="T37" s="301"/>
      <c r="U37" s="1165"/>
      <c r="V37" s="5481"/>
      <c r="W37" s="5481"/>
      <c r="X37" s="5481"/>
      <c r="Y37" s="5481"/>
      <c r="Z37" s="5481"/>
      <c r="AA37" s="5481"/>
      <c r="AB37" s="5481"/>
      <c r="AC37" s="5481"/>
      <c r="AD37" s="5481"/>
      <c r="AE37" s="5481"/>
      <c r="AF37" s="5481"/>
      <c r="AG37" s="5481"/>
      <c r="AH37" s="5481"/>
      <c r="AI37" s="5481"/>
      <c r="AJ37" s="5481"/>
      <c r="AK37" s="5481"/>
      <c r="AS37" s="1076">
        <v>14</v>
      </c>
    </row>
    <row r="38" spans="1:45" ht="14.65" customHeight="1">
      <c r="Q38" s="314"/>
      <c r="R38" s="314"/>
      <c r="S38" s="5328" t="s">
        <v>393</v>
      </c>
      <c r="T38" s="5328"/>
      <c r="U38" s="5328"/>
      <c r="V38" s="5328"/>
      <c r="W38" s="5328"/>
      <c r="X38" s="5328"/>
      <c r="Y38" s="5328"/>
      <c r="Z38" s="5328"/>
      <c r="AA38" s="5328"/>
      <c r="AB38" s="5328"/>
      <c r="AC38" s="5328"/>
      <c r="AD38" s="5328"/>
      <c r="AE38" s="5328"/>
      <c r="AF38" s="5328"/>
      <c r="AG38" s="5328"/>
      <c r="AH38" s="5328"/>
      <c r="AI38" s="5328"/>
      <c r="AJ38" s="5328"/>
      <c r="AK38" s="5328"/>
      <c r="AL38" s="5328"/>
      <c r="AM38" s="5328" t="s">
        <v>394</v>
      </c>
      <c r="AS38" s="1076">
        <v>14</v>
      </c>
    </row>
    <row r="39" spans="1:45" ht="14.65" customHeight="1">
      <c r="Q39" s="314"/>
      <c r="R39" s="314"/>
      <c r="S39" s="5482" t="s">
        <v>88</v>
      </c>
      <c r="T39" s="5431" t="s">
        <v>519</v>
      </c>
      <c r="U39" s="239"/>
      <c r="V39" s="5483" t="s">
        <v>520</v>
      </c>
      <c r="W39" s="5484"/>
      <c r="X39" s="5484"/>
      <c r="Y39" s="5484"/>
      <c r="Z39" s="5484"/>
      <c r="AA39" s="5484"/>
      <c r="AB39" s="5485"/>
      <c r="AC39" s="5486" t="s">
        <v>521</v>
      </c>
      <c r="AD39" s="5483" t="s">
        <v>520</v>
      </c>
      <c r="AE39" s="5484"/>
      <c r="AF39" s="5484"/>
      <c r="AG39" s="5484"/>
      <c r="AH39" s="5484"/>
      <c r="AI39" s="5484"/>
      <c r="AJ39" s="5485"/>
      <c r="AK39" s="5486" t="s">
        <v>522</v>
      </c>
      <c r="AL39" s="5489" t="s">
        <v>523</v>
      </c>
      <c r="AM39" s="5328"/>
      <c r="AS39" s="1076">
        <v>14</v>
      </c>
    </row>
    <row r="40" spans="1:45" ht="35.65" customHeight="1">
      <c r="Q40" s="314"/>
      <c r="R40" s="314"/>
      <c r="S40" s="5482"/>
      <c r="T40" s="5431"/>
      <c r="U40" s="956"/>
      <c r="V40" s="5403" t="s">
        <v>524</v>
      </c>
      <c r="W40" s="5478" t="s">
        <v>525</v>
      </c>
      <c r="X40" s="5309" t="s">
        <v>526</v>
      </c>
      <c r="Y40" s="5308"/>
      <c r="Z40" s="5309" t="s">
        <v>527</v>
      </c>
      <c r="AA40" s="5314"/>
      <c r="AB40" s="5308"/>
      <c r="AC40" s="5487"/>
      <c r="AD40" s="5403" t="s">
        <v>524</v>
      </c>
      <c r="AE40" s="5478" t="s">
        <v>525</v>
      </c>
      <c r="AF40" s="5309" t="s">
        <v>526</v>
      </c>
      <c r="AG40" s="5308"/>
      <c r="AH40" s="5309" t="s">
        <v>527</v>
      </c>
      <c r="AI40" s="5314"/>
      <c r="AJ40" s="5308"/>
      <c r="AK40" s="5487"/>
      <c r="AL40" s="5490"/>
      <c r="AM40" s="5328"/>
      <c r="AS40" s="1076">
        <v>34</v>
      </c>
    </row>
    <row r="41" spans="1:45" ht="35.65" customHeight="1">
      <c r="A41" s="1291"/>
      <c r="B41" s="1291" t="s">
        <v>167</v>
      </c>
      <c r="C41" s="1291" t="s">
        <v>168</v>
      </c>
      <c r="D41" s="1291" t="s">
        <v>169</v>
      </c>
      <c r="E41" s="1285" t="s">
        <v>528</v>
      </c>
      <c r="F41" s="1285" t="s">
        <v>529</v>
      </c>
      <c r="G41" s="1285" t="s">
        <v>530</v>
      </c>
      <c r="H41" s="1285" t="s">
        <v>531</v>
      </c>
      <c r="I41" s="1285" t="s">
        <v>532</v>
      </c>
      <c r="J41" s="1285" t="s">
        <v>533</v>
      </c>
      <c r="K41" s="1285" t="s">
        <v>534</v>
      </c>
      <c r="L41" s="1285" t="s">
        <v>509</v>
      </c>
      <c r="Q41" s="314"/>
      <c r="R41" s="314"/>
      <c r="S41" s="5482"/>
      <c r="T41" s="5431"/>
      <c r="U41" s="240"/>
      <c r="V41" s="5455"/>
      <c r="W41" s="5479"/>
      <c r="X41" s="1143" t="s">
        <v>535</v>
      </c>
      <c r="Y41" s="1143" t="s">
        <v>536</v>
      </c>
      <c r="Z41" s="1142" t="s">
        <v>537</v>
      </c>
      <c r="AA41" s="5436" t="s">
        <v>538</v>
      </c>
      <c r="AB41" s="5449"/>
      <c r="AC41" s="5488"/>
      <c r="AD41" s="5455"/>
      <c r="AE41" s="5479"/>
      <c r="AF41" s="1143" t="s">
        <v>535</v>
      </c>
      <c r="AG41" s="1143" t="s">
        <v>536</v>
      </c>
      <c r="AH41" s="1234" t="s">
        <v>537</v>
      </c>
      <c r="AI41" s="5436" t="s">
        <v>538</v>
      </c>
      <c r="AJ41" s="5449"/>
      <c r="AK41" s="5488"/>
      <c r="AL41" s="5491"/>
      <c r="AM41" s="5328"/>
      <c r="AS41" s="1076">
        <v>34</v>
      </c>
    </row>
    <row r="42" spans="1:45" s="4299" customFormat="1" ht="11.25" hidden="1" customHeight="1">
      <c r="A42" s="1291"/>
      <c r="B42" s="1291"/>
      <c r="C42" s="1291"/>
      <c r="D42" s="1291"/>
      <c r="E42" s="1291"/>
      <c r="F42" s="1291"/>
      <c r="G42" s="1291"/>
      <c r="H42" s="1291"/>
      <c r="I42" s="1291"/>
      <c r="J42" s="1291"/>
      <c r="K42" s="1291"/>
      <c r="L42" s="1285"/>
      <c r="M42" s="1283"/>
      <c r="N42" s="1283"/>
      <c r="O42" s="1283"/>
      <c r="P42" s="1167"/>
      <c r="Q42" s="1168"/>
      <c r="R42" s="1175">
        <v>1</v>
      </c>
      <c r="S42" s="1198" t="s">
        <v>136</v>
      </c>
      <c r="T42" s="1176" t="s">
        <v>103</v>
      </c>
      <c r="U42" s="1166" t="str">
        <f ca="1">OFFSET(U42,0,-1)</f>
        <v>2</v>
      </c>
      <c r="V42" s="1177">
        <f ca="1">OFFSET(V42,0,-1)+1</f>
        <v>3</v>
      </c>
      <c r="W42" s="1177"/>
      <c r="X42" s="1177">
        <f ca="1">OFFSET(X42,0,-1)+1</f>
        <v>1</v>
      </c>
      <c r="Y42" s="1177">
        <f ca="1">OFFSET(Y42,0,-1)+1</f>
        <v>2</v>
      </c>
      <c r="Z42" s="1177">
        <f ca="1">OFFSET(Z42,0,-1)+1</f>
        <v>3</v>
      </c>
      <c r="AA42" s="5480">
        <f ca="1">OFFSET(AA42,0,-1)+1</f>
        <v>4</v>
      </c>
      <c r="AB42" s="5480"/>
      <c r="AC42" s="1177">
        <f ca="1">OFFSET(AC42,0,-2)+1</f>
        <v>5</v>
      </c>
      <c r="AD42" s="1233">
        <f ca="1">OFFSET(AD42,0,-1)+1</f>
        <v>6</v>
      </c>
      <c r="AE42" s="1233"/>
      <c r="AF42" s="1233">
        <f ca="1">OFFSET(AF42,0,-1)+1</f>
        <v>1</v>
      </c>
      <c r="AG42" s="1233">
        <f ca="1">OFFSET(AG42,0,-1)+1</f>
        <v>2</v>
      </c>
      <c r="AH42" s="1233">
        <f ca="1">OFFSET(AH42,0,-1)+1</f>
        <v>3</v>
      </c>
      <c r="AI42" s="5480">
        <f ca="1">OFFSET(AI42,0,-1)+1</f>
        <v>4</v>
      </c>
      <c r="AJ42" s="5480"/>
      <c r="AK42" s="1233">
        <f ca="1">OFFSET(AK42,0,-2)+1</f>
        <v>5</v>
      </c>
      <c r="AL42" s="1166">
        <f ca="1">OFFSET(AL42,0,-1)</f>
        <v>5</v>
      </c>
      <c r="AM42" s="1177">
        <f ca="1">OFFSET(AM42,0,-1)+1</f>
        <v>6</v>
      </c>
      <c r="AN42" s="449"/>
      <c r="AO42" s="449"/>
      <c r="AP42" s="449"/>
      <c r="AQ42" s="449"/>
      <c r="AR42" s="449"/>
      <c r="AS42" s="434">
        <v>0</v>
      </c>
    </row>
    <row r="43" spans="1:45" ht="24" customHeight="1">
      <c r="A43" s="1284" t="s">
        <v>187</v>
      </c>
      <c r="B43" s="1284"/>
      <c r="C43" s="1284"/>
      <c r="D43" s="1284"/>
      <c r="E43" s="5469">
        <v>1</v>
      </c>
      <c r="F43" s="1284"/>
      <c r="G43" s="1284"/>
      <c r="H43" s="1284"/>
      <c r="I43" s="1284"/>
      <c r="J43" s="1284"/>
      <c r="K43" s="1284"/>
      <c r="L43" s="1285"/>
      <c r="M43" s="1286"/>
      <c r="N43" s="1286"/>
      <c r="O43" s="1286"/>
      <c r="P43" s="299"/>
      <c r="Q43" s="298"/>
      <c r="R43" s="293"/>
      <c r="S43" s="1145">
        <f>INDEX(PT_DIFFERENTIATION_NUM_NTAR,MATCH(A43,PT_DIFFERENTIATION_NTAR_ID,0))</f>
        <v>0</v>
      </c>
      <c r="T43" s="236" t="s">
        <v>155</v>
      </c>
      <c r="U43" s="238"/>
      <c r="V43" s="5463"/>
      <c r="W43" s="5464"/>
      <c r="X43" s="5464"/>
      <c r="Y43" s="5464"/>
      <c r="Z43" s="5464"/>
      <c r="AA43" s="5464"/>
      <c r="AB43" s="5464"/>
      <c r="AC43" s="5465"/>
      <c r="AD43" s="5463" t="str">
        <f>INDEX(PT_DIFFERENTIATION_NTAR,MATCH(A43,PT_DIFFERENTIATION_NTAR_ID,0))</f>
        <v/>
      </c>
      <c r="AE43" s="5464"/>
      <c r="AF43" s="5464"/>
      <c r="AG43" s="5464"/>
      <c r="AH43" s="5464"/>
      <c r="AI43" s="5464"/>
      <c r="AJ43" s="5464"/>
      <c r="AK43" s="5464"/>
      <c r="AL43" s="5465"/>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76">
        <v>23</v>
      </c>
    </row>
    <row r="44" spans="1:45" ht="24" customHeight="1">
      <c r="A44" s="1284" t="s">
        <v>187</v>
      </c>
      <c r="B44" s="1284" t="s">
        <v>188</v>
      </c>
      <c r="C44" s="1284"/>
      <c r="D44" s="1284"/>
      <c r="E44" s="5470"/>
      <c r="F44" s="5469">
        <v>1</v>
      </c>
      <c r="G44" s="1284"/>
      <c r="H44" s="1284"/>
      <c r="I44" s="1284"/>
      <c r="J44" s="1284"/>
      <c r="K44" s="1284"/>
      <c r="L44" s="1285"/>
      <c r="M44" s="1286"/>
      <c r="N44" s="1286"/>
      <c r="O44" s="1286"/>
      <c r="P44" s="460"/>
      <c r="Q44" s="290"/>
      <c r="R44" s="291"/>
      <c r="S44" s="1145" t="str">
        <f>INDEX(PT_DIFFERENTIATION_NUM_TER,MATCH(B44,PT_DIFFERENTIATION_TER_ID,0))</f>
        <v>.</v>
      </c>
      <c r="T44" s="246" t="s">
        <v>490</v>
      </c>
      <c r="U44" s="238"/>
      <c r="V44" s="5463"/>
      <c r="W44" s="5464"/>
      <c r="X44" s="5464"/>
      <c r="Y44" s="5464"/>
      <c r="Z44" s="5464"/>
      <c r="AA44" s="5464"/>
      <c r="AB44" s="5464"/>
      <c r="AC44" s="5465"/>
      <c r="AD44" s="5463" t="str">
        <f>INDEX(PT_DIFFERENTIATION_TER,MATCH(B44,PT_DIFFERENTIATION_TER_ID,0))</f>
        <v/>
      </c>
      <c r="AE44" s="5464"/>
      <c r="AF44" s="5464"/>
      <c r="AG44" s="5464"/>
      <c r="AH44" s="5464"/>
      <c r="AI44" s="5464"/>
      <c r="AJ44" s="5464"/>
      <c r="AK44" s="5464"/>
      <c r="AL44" s="5465"/>
      <c r="AM44" s="1179" t="s">
        <v>491</v>
      </c>
      <c r="AO44" s="438"/>
      <c r="AP44" s="438" t="str">
        <f t="shared" si="1"/>
        <v>Территория действия тарифа</v>
      </c>
      <c r="AQ44" s="438"/>
      <c r="AR44" s="438"/>
      <c r="AS44" s="1076">
        <v>23</v>
      </c>
    </row>
    <row r="45" spans="1:45" ht="24" customHeight="1">
      <c r="A45" s="1284" t="s">
        <v>187</v>
      </c>
      <c r="B45" s="1284" t="s">
        <v>188</v>
      </c>
      <c r="C45" s="1284" t="s">
        <v>189</v>
      </c>
      <c r="D45" s="1284"/>
      <c r="E45" s="5470"/>
      <c r="F45" s="5470"/>
      <c r="G45" s="5469">
        <v>1</v>
      </c>
      <c r="H45" s="1284"/>
      <c r="I45" s="1284"/>
      <c r="J45" s="1284"/>
      <c r="K45" s="1284"/>
      <c r="L45" s="1285"/>
      <c r="M45" s="1286"/>
      <c r="N45" s="1286"/>
      <c r="O45" s="1286"/>
      <c r="P45" s="292"/>
      <c r="Q45" s="290"/>
      <c r="R45" s="291"/>
      <c r="S45" s="1145" t="str">
        <f>INDEX(PT_DIFFERENTIATION_NUM_CS,MATCH(C45,PT_DIFFERENTIATION_CS_ID,0))</f>
        <v>..</v>
      </c>
      <c r="T45" s="247" t="s">
        <v>492</v>
      </c>
      <c r="U45" s="238"/>
      <c r="V45" s="5463"/>
      <c r="W45" s="5464"/>
      <c r="X45" s="5464"/>
      <c r="Y45" s="5464"/>
      <c r="Z45" s="5464"/>
      <c r="AA45" s="5464"/>
      <c r="AB45" s="5464"/>
      <c r="AC45" s="5465"/>
      <c r="AD45" s="5463" t="str">
        <f>INDEX(PT_DIFFERENTIATION_CS,MATCH(C45,PT_DIFFERENTIATION_CS_ID,0))</f>
        <v/>
      </c>
      <c r="AE45" s="5464"/>
      <c r="AF45" s="5464"/>
      <c r="AG45" s="5464"/>
      <c r="AH45" s="5464"/>
      <c r="AI45" s="5464"/>
      <c r="AJ45" s="5464"/>
      <c r="AK45" s="5464"/>
      <c r="AL45" s="5465"/>
      <c r="AM45" s="1179" t="s">
        <v>493</v>
      </c>
      <c r="AO45" s="438"/>
      <c r="AP45" s="438" t="str">
        <f t="shared" si="1"/>
        <v xml:space="preserve">Наименование системы теплоснабжения </v>
      </c>
      <c r="AQ45" s="438"/>
      <c r="AR45" s="438"/>
      <c r="AS45" s="1076">
        <v>23</v>
      </c>
    </row>
    <row r="46" spans="1:45" ht="24" customHeight="1">
      <c r="A46" s="1284" t="s">
        <v>187</v>
      </c>
      <c r="B46" s="1284" t="s">
        <v>188</v>
      </c>
      <c r="C46" s="1284" t="s">
        <v>189</v>
      </c>
      <c r="D46" s="1284" t="s">
        <v>190</v>
      </c>
      <c r="E46" s="5470"/>
      <c r="F46" s="5470"/>
      <c r="G46" s="5470"/>
      <c r="H46" s="5469">
        <v>1</v>
      </c>
      <c r="I46" s="1284"/>
      <c r="J46" s="1284"/>
      <c r="K46" s="1284"/>
      <c r="L46" s="1285"/>
      <c r="M46" s="1286"/>
      <c r="N46" s="1286"/>
      <c r="O46" s="1286"/>
      <c r="P46" s="292"/>
      <c r="Q46" s="290"/>
      <c r="R46" s="291"/>
      <c r="S46" s="1145" t="str">
        <f>INDEX(PT_DIFFERENTIATION_NUM_IST_TE,MATCH(D46,PT_DIFFERENTIATION_IST_TE_ID,0))</f>
        <v>...</v>
      </c>
      <c r="T46" s="248" t="s">
        <v>494</v>
      </c>
      <c r="U46" s="238"/>
      <c r="V46" s="5463"/>
      <c r="W46" s="5464"/>
      <c r="X46" s="5464"/>
      <c r="Y46" s="5464"/>
      <c r="Z46" s="5464"/>
      <c r="AA46" s="5464"/>
      <c r="AB46" s="5464"/>
      <c r="AC46" s="5465"/>
      <c r="AD46" s="5463" t="str">
        <f>INDEX(PT_DIFFERENTIATION_IST_TE,MATCH(D46,PT_DIFFERENTIATION_IST_TE_ID,0))</f>
        <v/>
      </c>
      <c r="AE46" s="5464"/>
      <c r="AF46" s="5464"/>
      <c r="AG46" s="5464"/>
      <c r="AH46" s="5464"/>
      <c r="AI46" s="5464"/>
      <c r="AJ46" s="5464"/>
      <c r="AK46" s="5464"/>
      <c r="AL46" s="5465"/>
      <c r="AM46" s="1179" t="s">
        <v>495</v>
      </c>
      <c r="AO46" s="438"/>
      <c r="AP46" s="438" t="str">
        <f t="shared" si="1"/>
        <v xml:space="preserve">Источник тепловой энергии  </v>
      </c>
      <c r="AQ46" s="438"/>
      <c r="AR46" s="438"/>
      <c r="AS46" s="1076">
        <v>23</v>
      </c>
    </row>
    <row r="47" spans="1:45" ht="49.5" customHeight="1">
      <c r="A47" s="1284" t="s">
        <v>187</v>
      </c>
      <c r="B47" s="1284" t="s">
        <v>188</v>
      </c>
      <c r="C47" s="1284" t="s">
        <v>189</v>
      </c>
      <c r="D47" s="1284" t="s">
        <v>190</v>
      </c>
      <c r="E47" s="5470"/>
      <c r="F47" s="5470"/>
      <c r="G47" s="5470"/>
      <c r="H47" s="5470"/>
      <c r="I47" s="5471" t="str">
        <f>S46&amp;".1"</f>
        <v>....1</v>
      </c>
      <c r="J47" s="1284"/>
      <c r="K47" s="1284"/>
      <c r="L47" s="1285" t="s">
        <v>496</v>
      </c>
      <c r="P47" s="5473">
        <v>1</v>
      </c>
      <c r="Q47" s="1141"/>
      <c r="R47" s="294"/>
      <c r="S47" s="1145" t="str">
        <f>$I47</f>
        <v>....1</v>
      </c>
      <c r="T47" s="223" t="s">
        <v>497</v>
      </c>
      <c r="U47" s="238"/>
      <c r="V47" s="5457"/>
      <c r="W47" s="5458"/>
      <c r="X47" s="5458"/>
      <c r="Y47" s="5458"/>
      <c r="Z47" s="5458"/>
      <c r="AA47" s="5458"/>
      <c r="AB47" s="5458"/>
      <c r="AC47" s="5459"/>
      <c r="AD47" s="5457"/>
      <c r="AE47" s="5458"/>
      <c r="AF47" s="5458"/>
      <c r="AG47" s="5458"/>
      <c r="AH47" s="5458"/>
      <c r="AI47" s="5458"/>
      <c r="AJ47" s="5458"/>
      <c r="AK47" s="5458"/>
      <c r="AL47" s="5459"/>
      <c r="AM47" s="1179" t="s">
        <v>498</v>
      </c>
      <c r="AO47" s="438"/>
      <c r="AP47" s="438" t="str">
        <f t="shared" si="1"/>
        <v>Схема подключения теплопотребляющей установки к коллектору источника тепловой энергии</v>
      </c>
      <c r="AQ47" s="438"/>
      <c r="AR47" s="438"/>
      <c r="AS47" s="1076">
        <v>47</v>
      </c>
    </row>
    <row r="48" spans="1:45" ht="24" customHeight="1">
      <c r="A48" s="1284" t="s">
        <v>187</v>
      </c>
      <c r="B48" s="1284" t="s">
        <v>188</v>
      </c>
      <c r="C48" s="1284" t="s">
        <v>189</v>
      </c>
      <c r="D48" s="1284" t="s">
        <v>190</v>
      </c>
      <c r="E48" s="5470"/>
      <c r="F48" s="5470"/>
      <c r="G48" s="5470"/>
      <c r="H48" s="5470"/>
      <c r="I48" s="5472"/>
      <c r="J48" s="5471" t="str">
        <f>I47&amp;".1"</f>
        <v>....1.1</v>
      </c>
      <c r="K48" s="1284"/>
      <c r="L48" s="1285" t="s">
        <v>499</v>
      </c>
      <c r="P48" s="5473"/>
      <c r="Q48" s="5473">
        <v>1</v>
      </c>
      <c r="R48" s="295"/>
      <c r="S48" s="1145" t="str">
        <f>$J48</f>
        <v>....1.1</v>
      </c>
      <c r="T48" s="224" t="s">
        <v>500</v>
      </c>
      <c r="U48" s="238"/>
      <c r="V48" s="5457"/>
      <c r="W48" s="5458"/>
      <c r="X48" s="5458"/>
      <c r="Y48" s="5458"/>
      <c r="Z48" s="5458"/>
      <c r="AA48" s="5458"/>
      <c r="AB48" s="5458"/>
      <c r="AC48" s="5459"/>
      <c r="AD48" s="5457"/>
      <c r="AE48" s="5458"/>
      <c r="AF48" s="5458"/>
      <c r="AG48" s="5458"/>
      <c r="AH48" s="5458"/>
      <c r="AI48" s="5458"/>
      <c r="AJ48" s="5458"/>
      <c r="AK48" s="5458"/>
      <c r="AL48" s="5459"/>
      <c r="AM48" s="1179" t="s">
        <v>501</v>
      </c>
      <c r="AO48" s="438"/>
      <c r="AP48" s="438" t="str">
        <f t="shared" si="1"/>
        <v>Группа потребителей</v>
      </c>
      <c r="AQ48" s="438"/>
      <c r="AR48" s="438"/>
      <c r="AS48" s="1076">
        <v>23</v>
      </c>
    </row>
    <row r="49" spans="1:45" ht="24" customHeight="1">
      <c r="A49" s="1284" t="s">
        <v>187</v>
      </c>
      <c r="B49" s="1284" t="s">
        <v>188</v>
      </c>
      <c r="C49" s="1284" t="s">
        <v>189</v>
      </c>
      <c r="D49" s="1284" t="s">
        <v>190</v>
      </c>
      <c r="E49" s="5470"/>
      <c r="F49" s="5470"/>
      <c r="G49" s="5470"/>
      <c r="H49" s="5470"/>
      <c r="I49" s="5472"/>
      <c r="J49" s="5472"/>
      <c r="K49" s="5471" t="str">
        <f>J48&amp;".1"</f>
        <v>....1.1.1</v>
      </c>
      <c r="L49" s="1285" t="s">
        <v>502</v>
      </c>
      <c r="P49" s="5473"/>
      <c r="Q49" s="5473"/>
      <c r="R49" s="295">
        <v>1</v>
      </c>
      <c r="S49" s="1145" t="str">
        <f>$K49</f>
        <v>....1.1.1</v>
      </c>
      <c r="T49" s="1268"/>
      <c r="U49" s="238"/>
      <c r="V49" s="689"/>
      <c r="W49" s="263"/>
      <c r="X49" s="689"/>
      <c r="Y49" s="1178"/>
      <c r="Z49" s="5474"/>
      <c r="AA49" s="5338" t="s">
        <v>66</v>
      </c>
      <c r="AB49" s="5474"/>
      <c r="AC49" s="5338" t="s">
        <v>66</v>
      </c>
      <c r="AD49" s="689"/>
      <c r="AE49" s="263"/>
      <c r="AF49" s="689"/>
      <c r="AG49" s="1178"/>
      <c r="AH49" s="5474"/>
      <c r="AI49" s="5338" t="s">
        <v>66</v>
      </c>
      <c r="AJ49" s="5476"/>
      <c r="AK49" s="5338" t="s">
        <v>66</v>
      </c>
      <c r="AL49" s="1269"/>
      <c r="AM49" s="5492" t="s">
        <v>503</v>
      </c>
      <c r="AN49" s="449" t="e">
        <f ca="1">STRCHECKDATE(V50:AL50)</f>
        <v>#NAME?</v>
      </c>
      <c r="AO49" s="438"/>
      <c r="AP49" s="438" t="str">
        <f t="shared" si="1"/>
        <v/>
      </c>
      <c r="AQ49" s="438"/>
      <c r="AR49" s="438"/>
      <c r="AS49" s="1076">
        <v>23</v>
      </c>
    </row>
    <row r="50" spans="1:45" ht="1.1499999999999999" customHeight="1">
      <c r="A50" s="1284" t="s">
        <v>187</v>
      </c>
      <c r="B50" s="1284" t="s">
        <v>188</v>
      </c>
      <c r="C50" s="1284" t="s">
        <v>189</v>
      </c>
      <c r="D50" s="1284" t="s">
        <v>190</v>
      </c>
      <c r="E50" s="5470"/>
      <c r="F50" s="5470"/>
      <c r="G50" s="5470"/>
      <c r="H50" s="5470"/>
      <c r="I50" s="5472"/>
      <c r="J50" s="5472"/>
      <c r="K50" s="5471"/>
      <c r="L50" s="1285"/>
      <c r="P50" s="5473"/>
      <c r="Q50" s="5473"/>
      <c r="R50" s="295"/>
      <c r="S50" s="1144"/>
      <c r="T50" s="238"/>
      <c r="U50" s="238"/>
      <c r="V50" s="263"/>
      <c r="W50" s="263"/>
      <c r="X50" s="263"/>
      <c r="Y50" s="266" t="str">
        <f>Z49&amp;"-"&amp;AB49</f>
        <v>-</v>
      </c>
      <c r="Z50" s="5475"/>
      <c r="AA50" s="5338"/>
      <c r="AB50" s="5475"/>
      <c r="AC50" s="5338"/>
      <c r="AD50" s="263"/>
      <c r="AE50" s="263"/>
      <c r="AF50" s="263"/>
      <c r="AG50" s="266" t="str">
        <f>AH49&amp;"-"&amp;AJ49</f>
        <v>-</v>
      </c>
      <c r="AH50" s="5475"/>
      <c r="AI50" s="5338"/>
      <c r="AJ50" s="5477"/>
      <c r="AK50" s="5338"/>
      <c r="AL50" s="1270"/>
      <c r="AM50" s="5493"/>
      <c r="AO50" s="438"/>
      <c r="AP50" s="438" t="str">
        <f t="shared" si="1"/>
        <v/>
      </c>
      <c r="AQ50" s="438"/>
      <c r="AR50" s="438"/>
      <c r="AS50" s="1076">
        <v>1</v>
      </c>
    </row>
    <row r="51" spans="1:45" ht="11.45" customHeight="1">
      <c r="A51" s="1284" t="s">
        <v>187</v>
      </c>
      <c r="B51" s="1284" t="s">
        <v>188</v>
      </c>
      <c r="C51" s="1284" t="s">
        <v>189</v>
      </c>
      <c r="D51" s="1284" t="s">
        <v>190</v>
      </c>
      <c r="E51" s="5470"/>
      <c r="F51" s="5470"/>
      <c r="G51" s="5470"/>
      <c r="H51" s="5470"/>
      <c r="I51" s="5472"/>
      <c r="J51" s="5471"/>
      <c r="K51" s="1284"/>
      <c r="L51" s="1285"/>
      <c r="P51" s="5473"/>
      <c r="Q51" s="5473"/>
      <c r="R51" s="294"/>
      <c r="S51" s="1199"/>
      <c r="T51" s="226" t="s">
        <v>504</v>
      </c>
      <c r="U51" s="305"/>
      <c r="V51" s="305"/>
      <c r="W51" s="305"/>
      <c r="X51" s="305"/>
      <c r="Y51" s="305"/>
      <c r="Z51" s="305"/>
      <c r="AA51" s="305"/>
      <c r="AB51" s="305"/>
      <c r="AC51" s="305"/>
      <c r="AD51" s="305"/>
      <c r="AE51" s="305"/>
      <c r="AF51" s="305"/>
      <c r="AG51" s="305"/>
      <c r="AH51" s="305"/>
      <c r="AI51" s="305"/>
      <c r="AJ51" s="305"/>
      <c r="AK51" s="305"/>
      <c r="AL51" s="262"/>
      <c r="AM51" s="5494"/>
      <c r="AO51" s="438"/>
      <c r="AP51" s="438" t="str">
        <f t="shared" si="1"/>
        <v>Добавить вид теплоносителя (параметры теплоносителя)</v>
      </c>
      <c r="AQ51" s="438"/>
      <c r="AR51" s="438"/>
      <c r="AS51" s="1076">
        <v>11</v>
      </c>
    </row>
    <row r="52" spans="1:45" ht="11.45" customHeight="1">
      <c r="A52" s="1284" t="s">
        <v>187</v>
      </c>
      <c r="B52" s="1284" t="s">
        <v>188</v>
      </c>
      <c r="C52" s="1284" t="s">
        <v>189</v>
      </c>
      <c r="D52" s="1284" t="s">
        <v>190</v>
      </c>
      <c r="E52" s="5470"/>
      <c r="F52" s="5470"/>
      <c r="G52" s="5470"/>
      <c r="H52" s="5470"/>
      <c r="I52" s="5471"/>
      <c r="J52" s="1284"/>
      <c r="K52" s="1284"/>
      <c r="L52" s="1285"/>
      <c r="P52" s="5473"/>
      <c r="Q52" s="1141"/>
      <c r="R52" s="294"/>
      <c r="S52" s="1199"/>
      <c r="T52" s="225" t="s">
        <v>505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76">
        <v>11</v>
      </c>
    </row>
    <row r="53" spans="1:45" ht="14.65" customHeight="1">
      <c r="A53" s="1284" t="s">
        <v>187</v>
      </c>
      <c r="B53" s="1284" t="s">
        <v>188</v>
      </c>
      <c r="C53" s="1284" t="s">
        <v>189</v>
      </c>
      <c r="D53" s="1284" t="s">
        <v>190</v>
      </c>
      <c r="E53" s="5470"/>
      <c r="F53" s="5470"/>
      <c r="G53" s="5470"/>
      <c r="H53" s="5469"/>
      <c r="I53" s="1284"/>
      <c r="J53" s="1284"/>
      <c r="K53" s="1284"/>
      <c r="L53" s="1285"/>
      <c r="M53" s="1286"/>
      <c r="N53" s="1286"/>
      <c r="O53" s="475"/>
      <c r="P53" s="298"/>
      <c r="Q53" s="313"/>
      <c r="R53" s="293"/>
      <c r="S53" s="1199"/>
      <c r="T53" s="303" t="s">
        <v>506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76">
        <v>14</v>
      </c>
    </row>
    <row r="54" spans="1:45" s="4275" customFormat="1" ht="1.1499999999999999" customHeight="1">
      <c r="A54" s="1264" t="s">
        <v>187</v>
      </c>
      <c r="B54" s="1264" t="s">
        <v>188</v>
      </c>
      <c r="C54" s="1264" t="s">
        <v>189</v>
      </c>
      <c r="D54" s="1235"/>
      <c r="E54" s="5470"/>
      <c r="F54" s="5470"/>
      <c r="G54" s="5469"/>
      <c r="H54" s="1235"/>
      <c r="I54" s="1235"/>
      <c r="J54" s="1235"/>
      <c r="K54" s="1235"/>
      <c r="L54" s="1260"/>
      <c r="M54" s="1236"/>
      <c r="N54" s="1236"/>
      <c r="P54" s="1237"/>
      <c r="Q54" s="1238"/>
      <c r="R54" s="1237"/>
      <c r="S54" s="1243"/>
      <c r="T54" s="1246" t="s">
        <v>507</v>
      </c>
      <c r="U54" s="1245"/>
      <c r="V54" s="1245"/>
      <c r="W54" s="1245"/>
      <c r="X54" s="1245"/>
      <c r="Y54" s="1245"/>
      <c r="Z54" s="1245"/>
      <c r="AA54" s="1245"/>
      <c r="AB54" s="1245"/>
      <c r="AC54" s="1245"/>
      <c r="AD54" s="1245"/>
      <c r="AE54" s="1245"/>
      <c r="AF54" s="1245"/>
      <c r="AG54" s="1245"/>
      <c r="AH54" s="1245"/>
      <c r="AI54" s="1245"/>
      <c r="AJ54" s="1245"/>
      <c r="AK54" s="1245"/>
      <c r="AL54" s="1245"/>
      <c r="AM54" s="1245"/>
      <c r="AO54" s="721"/>
      <c r="AP54" s="721" t="str">
        <f t="shared" si="1"/>
        <v>Добавить источник для дифференциации</v>
      </c>
      <c r="AQ54" s="721"/>
      <c r="AR54" s="721"/>
      <c r="AS54" s="456">
        <v>1</v>
      </c>
    </row>
    <row r="55" spans="1:45" s="4275" customFormat="1" ht="1.1499999999999999" customHeight="1">
      <c r="A55" s="1264" t="s">
        <v>187</v>
      </c>
      <c r="B55" s="1264" t="s">
        <v>188</v>
      </c>
      <c r="C55" s="1235"/>
      <c r="D55" s="1235"/>
      <c r="E55" s="5470"/>
      <c r="F55" s="5469"/>
      <c r="G55" s="1235"/>
      <c r="H55" s="1235"/>
      <c r="I55" s="1235"/>
      <c r="J55" s="1235"/>
      <c r="K55" s="1235"/>
      <c r="L55" s="1260"/>
      <c r="M55" s="1242"/>
      <c r="N55" s="1242"/>
      <c r="P55" s="1237"/>
      <c r="Q55" s="1238"/>
      <c r="R55" s="1237"/>
      <c r="S55" s="1243"/>
      <c r="T55" s="1246" t="s">
        <v>312</v>
      </c>
      <c r="U55" s="1245"/>
      <c r="V55" s="1245"/>
      <c r="W55" s="1245"/>
      <c r="X55" s="1245"/>
      <c r="Y55" s="1245"/>
      <c r="Z55" s="1245"/>
      <c r="AA55" s="1245"/>
      <c r="AB55" s="1245"/>
      <c r="AC55" s="1245"/>
      <c r="AD55" s="1245"/>
      <c r="AE55" s="1245"/>
      <c r="AF55" s="1245"/>
      <c r="AG55" s="1245"/>
      <c r="AH55" s="1245"/>
      <c r="AI55" s="1245"/>
      <c r="AJ55" s="1245"/>
      <c r="AK55" s="1245"/>
      <c r="AL55" s="1245"/>
      <c r="AM55" s="1245"/>
      <c r="AO55" s="721"/>
      <c r="AP55" s="721" t="str">
        <f t="shared" si="1"/>
        <v>Добавить централизованную систему для дифференциации</v>
      </c>
      <c r="AQ55" s="721"/>
      <c r="AR55" s="721"/>
      <c r="AS55" s="456">
        <v>1</v>
      </c>
    </row>
    <row r="56" spans="1:45" s="4275" customFormat="1" ht="1.1499999999999999" customHeight="1">
      <c r="A56" s="1264" t="s">
        <v>187</v>
      </c>
      <c r="B56" s="1264"/>
      <c r="C56" s="1264"/>
      <c r="D56" s="1264"/>
      <c r="E56" s="5469"/>
      <c r="F56" s="1264"/>
      <c r="G56" s="1264"/>
      <c r="H56" s="1264"/>
      <c r="I56" s="1264"/>
      <c r="J56" s="1264"/>
      <c r="K56" s="1264"/>
      <c r="L56" s="1267"/>
      <c r="M56" s="1242"/>
      <c r="N56" s="1242"/>
      <c r="O56" s="456"/>
      <c r="P56" s="318"/>
      <c r="Q56" s="1265"/>
      <c r="R56" s="318"/>
      <c r="S56" s="1243"/>
      <c r="T56" s="1246" t="s">
        <v>360</v>
      </c>
      <c r="U56" s="1245"/>
      <c r="V56" s="1245"/>
      <c r="W56" s="1245"/>
      <c r="X56" s="1245"/>
      <c r="Y56" s="1245"/>
      <c r="Z56" s="1245"/>
      <c r="AA56" s="1245"/>
      <c r="AB56" s="1245"/>
      <c r="AC56" s="1245"/>
      <c r="AD56" s="1245"/>
      <c r="AE56" s="1245"/>
      <c r="AF56" s="1245"/>
      <c r="AG56" s="1245"/>
      <c r="AH56" s="1245"/>
      <c r="AI56" s="1245"/>
      <c r="AJ56" s="1245"/>
      <c r="AK56" s="1245"/>
      <c r="AL56" s="1245"/>
      <c r="AM56" s="1245"/>
      <c r="AO56" s="438"/>
      <c r="AP56" s="438" t="str">
        <f t="shared" si="1"/>
        <v>Добавить территорию для дифференциации</v>
      </c>
      <c r="AQ56" s="438"/>
      <c r="AR56" s="438"/>
      <c r="AS56" s="449">
        <v>1</v>
      </c>
    </row>
    <row r="57" spans="1:45" s="4275" customFormat="1" ht="1.1499999999999999" customHeight="1">
      <c r="A57" s="1235"/>
      <c r="B57" s="1235"/>
      <c r="C57" s="1235"/>
      <c r="D57" s="1235"/>
      <c r="E57" s="1264"/>
      <c r="F57" s="1235"/>
      <c r="G57" s="1235"/>
      <c r="H57" s="1235"/>
      <c r="I57" s="1235"/>
      <c r="J57" s="1235"/>
      <c r="K57" s="1235"/>
      <c r="L57" s="1260"/>
      <c r="M57" s="1242"/>
      <c r="N57" s="1242"/>
      <c r="P57" s="1237"/>
      <c r="Q57" s="1238"/>
      <c r="R57" s="1237"/>
      <c r="S57" s="1243"/>
      <c r="T57" s="1246" t="s">
        <v>361</v>
      </c>
      <c r="U57" s="1245"/>
      <c r="V57" s="1245"/>
      <c r="W57" s="1245"/>
      <c r="X57" s="1245"/>
      <c r="Y57" s="1245"/>
      <c r="Z57" s="1245"/>
      <c r="AA57" s="1245"/>
      <c r="AB57" s="1245"/>
      <c r="AC57" s="1245"/>
      <c r="AD57" s="1245"/>
      <c r="AE57" s="1245"/>
      <c r="AF57" s="1245"/>
      <c r="AG57" s="1245"/>
      <c r="AH57" s="1245"/>
      <c r="AI57" s="1245"/>
      <c r="AJ57" s="1245"/>
      <c r="AK57" s="1245"/>
      <c r="AL57" s="1245"/>
      <c r="AM57" s="1245"/>
      <c r="AO57" s="721"/>
      <c r="AP57" s="721" t="str">
        <f t="shared" si="1"/>
        <v>Добавить наименование тарифа</v>
      </c>
      <c r="AQ57" s="721"/>
      <c r="AR57" s="721"/>
      <c r="AS57" s="456">
        <v>1</v>
      </c>
    </row>
    <row r="58" spans="1:45" ht="11.45" customHeight="1">
      <c r="M58" s="1081"/>
      <c r="N58" s="1081"/>
      <c r="O58" s="475"/>
      <c r="P58" s="1076"/>
      <c r="Q58" s="1076"/>
      <c r="R58" s="1076"/>
      <c r="S58" s="1076"/>
      <c r="AN58" s="1076"/>
      <c r="AO58" s="1076"/>
      <c r="AP58" s="1076"/>
      <c r="AQ58" s="1076"/>
      <c r="AR58" s="1076"/>
      <c r="AS58" s="1076">
        <v>11</v>
      </c>
    </row>
    <row r="59" spans="1:45" ht="28.5" customHeight="1">
      <c r="O59" s="475"/>
      <c r="S59" s="1174"/>
      <c r="T59" s="5468"/>
      <c r="U59" s="5468"/>
      <c r="V59" s="5468"/>
      <c r="W59" s="5468"/>
      <c r="X59" s="5468"/>
      <c r="Y59" s="5468"/>
      <c r="Z59" s="5468"/>
      <c r="AA59" s="5468"/>
      <c r="AB59" s="5468"/>
      <c r="AC59" s="5468"/>
      <c r="AD59" s="5468"/>
      <c r="AE59" s="5468"/>
      <c r="AF59" s="5468"/>
      <c r="AG59" s="5468"/>
      <c r="AH59" s="5468"/>
      <c r="AI59" s="5468"/>
      <c r="AJ59" s="5468"/>
      <c r="AK59" s="5468"/>
      <c r="AL59" s="5468"/>
      <c r="AM59" s="5468"/>
      <c r="AS59" s="1076">
        <v>27</v>
      </c>
    </row>
    <row r="60" spans="1:45" ht="67.150000000000006" customHeight="1">
      <c r="O60" s="475"/>
      <c r="P60" s="1224"/>
      <c r="T60" s="5468"/>
      <c r="U60" s="5468"/>
      <c r="V60" s="5468"/>
      <c r="W60" s="5468"/>
      <c r="X60" s="5468"/>
      <c r="Y60" s="5468"/>
      <c r="Z60" s="5468"/>
      <c r="AA60" s="5468"/>
      <c r="AB60" s="5468"/>
      <c r="AC60" s="5468"/>
      <c r="AD60" s="5468"/>
      <c r="AE60" s="5468"/>
      <c r="AF60" s="5468"/>
      <c r="AG60" s="5468"/>
      <c r="AH60" s="5468"/>
      <c r="AI60" s="5468"/>
      <c r="AJ60" s="5468"/>
      <c r="AK60" s="5468"/>
      <c r="AL60" s="5468"/>
      <c r="AM60" s="5468"/>
      <c r="AS60" s="1076">
        <v>64</v>
      </c>
    </row>
    <row r="61" spans="1:45" ht="14.65" customHeight="1">
      <c r="O61" s="475"/>
      <c r="AS61" s="1076">
        <v>14</v>
      </c>
    </row>
    <row r="62" spans="1:45" ht="18.75" customHeight="1">
      <c r="O62" s="475"/>
      <c r="P62" s="1249"/>
      <c r="S62" s="1174"/>
      <c r="T62" s="5468"/>
      <c r="U62" s="5468"/>
      <c r="V62" s="5468"/>
      <c r="W62" s="5468"/>
      <c r="X62" s="5468"/>
      <c r="Y62" s="5468"/>
      <c r="Z62" s="5468"/>
      <c r="AA62" s="5468"/>
      <c r="AB62" s="5468"/>
      <c r="AC62" s="5468"/>
      <c r="AD62" s="5468"/>
      <c r="AE62" s="5468"/>
      <c r="AF62" s="5468"/>
      <c r="AG62" s="5468"/>
      <c r="AH62" s="5468"/>
      <c r="AI62" s="5468"/>
      <c r="AJ62" s="5468"/>
      <c r="AK62" s="5468"/>
      <c r="AL62" s="5468"/>
      <c r="AM62" s="5468"/>
      <c r="AS62" s="1076">
        <v>18</v>
      </c>
    </row>
    <row r="63" spans="1:45" ht="18.75" customHeight="1">
      <c r="O63" s="475"/>
      <c r="P63" s="1249"/>
      <c r="T63" s="5468"/>
      <c r="U63" s="5468"/>
      <c r="V63" s="5468"/>
      <c r="W63" s="5468"/>
      <c r="X63" s="5468"/>
      <c r="Y63" s="5468"/>
      <c r="Z63" s="5468"/>
      <c r="AA63" s="5468"/>
      <c r="AB63" s="5468"/>
      <c r="AC63" s="5468"/>
      <c r="AD63" s="5468"/>
      <c r="AE63" s="5468"/>
      <c r="AF63" s="5468"/>
      <c r="AG63" s="5468"/>
      <c r="AH63" s="5468"/>
      <c r="AI63" s="5468"/>
      <c r="AJ63" s="5468"/>
      <c r="AK63" s="5468"/>
      <c r="AL63" s="5468"/>
      <c r="AM63" s="5468"/>
      <c r="AS63" s="1076">
        <v>18</v>
      </c>
    </row>
    <row r="64" spans="1:45" ht="29.25" customHeight="1">
      <c r="O64" s="475"/>
      <c r="P64" s="1249"/>
      <c r="S64" s="1174"/>
      <c r="T64" s="5468"/>
      <c r="U64" s="5468"/>
      <c r="V64" s="5468"/>
      <c r="W64" s="5468"/>
      <c r="X64" s="5468"/>
      <c r="Y64" s="5468"/>
      <c r="Z64" s="5468"/>
      <c r="AA64" s="5468"/>
      <c r="AB64" s="5468"/>
      <c r="AC64" s="5468"/>
      <c r="AD64" s="5468"/>
      <c r="AE64" s="5468"/>
      <c r="AF64" s="5468"/>
      <c r="AG64" s="5468"/>
      <c r="AH64" s="5468"/>
      <c r="AI64" s="5468"/>
      <c r="AJ64" s="5468"/>
      <c r="AK64" s="5468"/>
      <c r="AL64" s="5468"/>
      <c r="AM64" s="5468"/>
      <c r="AS64" s="1076">
        <v>28</v>
      </c>
    </row>
    <row r="65" spans="1:45" ht="22.5" hidden="1" customHeight="1">
      <c r="A65" s="1081" t="s">
        <v>82</v>
      </c>
      <c r="B65" s="1081">
        <v>0</v>
      </c>
      <c r="C65" s="1081">
        <v>0</v>
      </c>
      <c r="D65" s="1081">
        <v>0</v>
      </c>
      <c r="E65" s="1081">
        <v>0</v>
      </c>
      <c r="F65" s="1081">
        <v>0</v>
      </c>
      <c r="G65" s="1081">
        <v>0</v>
      </c>
      <c r="H65" s="1081">
        <v>0</v>
      </c>
      <c r="I65" s="1081">
        <v>0</v>
      </c>
      <c r="J65" s="1081">
        <v>0</v>
      </c>
      <c r="K65" s="1081">
        <v>0</v>
      </c>
      <c r="L65" s="1250">
        <v>0</v>
      </c>
      <c r="M65" s="1283">
        <v>0</v>
      </c>
      <c r="N65" s="1283">
        <v>0</v>
      </c>
      <c r="O65" s="1283">
        <v>0</v>
      </c>
      <c r="P65" s="1139">
        <v>3</v>
      </c>
      <c r="Q65" s="282">
        <v>3</v>
      </c>
      <c r="R65" s="282">
        <v>3</v>
      </c>
      <c r="S65" s="519">
        <v>12</v>
      </c>
      <c r="T65" s="1076">
        <v>35</v>
      </c>
      <c r="U65" s="1076">
        <v>0</v>
      </c>
      <c r="V65" s="1076">
        <v>0</v>
      </c>
      <c r="W65" s="1076">
        <v>0</v>
      </c>
      <c r="X65" s="1076">
        <v>0</v>
      </c>
      <c r="Y65" s="1076">
        <v>0</v>
      </c>
      <c r="Z65" s="1076">
        <v>0</v>
      </c>
      <c r="AA65" s="1076">
        <v>0</v>
      </c>
      <c r="AB65" s="1076">
        <v>0</v>
      </c>
      <c r="AC65" s="1076">
        <v>0</v>
      </c>
      <c r="AD65" s="1076">
        <v>24</v>
      </c>
      <c r="AE65" s="1076">
        <v>0</v>
      </c>
      <c r="AF65" s="1076">
        <v>24</v>
      </c>
      <c r="AG65" s="1076">
        <v>24</v>
      </c>
      <c r="AH65" s="1076">
        <v>11</v>
      </c>
      <c r="AI65" s="1076">
        <v>3</v>
      </c>
      <c r="AJ65" s="1076">
        <v>11</v>
      </c>
      <c r="AK65" s="1076">
        <v>0</v>
      </c>
      <c r="AL65" s="1076">
        <v>4</v>
      </c>
      <c r="AM65" s="1076">
        <v>115</v>
      </c>
      <c r="AN65" s="449">
        <v>10</v>
      </c>
      <c r="AO65" s="449">
        <v>10</v>
      </c>
      <c r="AP65" s="449">
        <v>10</v>
      </c>
      <c r="AQ65" s="449">
        <v>10</v>
      </c>
      <c r="AR65" s="449">
        <v>10</v>
      </c>
      <c r="AS65" s="1076">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1" style="4267" customWidth="1"/>
    <col min="21" max="21" width="0.140625" style="4267" customWidth="1"/>
    <col min="22" max="22" width="24.7109375" style="4267" hidden="1" customWidth="1"/>
    <col min="23" max="23" width="0.140625" style="4267" hidden="1" customWidth="1"/>
    <col min="24" max="25" width="24.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24.7109375" style="4267" customWidth="1"/>
    <col min="31" max="31" width="0.140625" style="4267" customWidth="1"/>
    <col min="32" max="33" width="24" style="4267" customWidth="1"/>
    <col min="34" max="34" width="11" style="4267" customWidth="1"/>
    <col min="35" max="35" width="3.7109375" style="4267" customWidth="1"/>
    <col min="36" max="36" width="11" style="4267" customWidth="1"/>
    <col min="37" max="37" width="8.5703125" style="4267" hidden="1" customWidth="1"/>
    <col min="38" max="38" width="4" style="4267" customWidth="1"/>
    <col min="39" max="39" width="115" style="4267" customWidth="1"/>
    <col min="40" max="44" width="10" style="4275" customWidth="1"/>
    <col min="45" max="45" width="10.5703125" style="4267" hidden="1"/>
  </cols>
  <sheetData>
    <row r="1" spans="1:45" ht="22.5" hidden="1" customHeight="1">
      <c r="Y1" s="265"/>
      <c r="Z1" s="265"/>
      <c r="AG1" s="265"/>
      <c r="AH1" s="265"/>
      <c r="AS1" s="1076" t="s">
        <v>14</v>
      </c>
    </row>
    <row r="2" spans="1:45" ht="21" hidden="1" customHeight="1">
      <c r="A2" s="1284"/>
      <c r="B2" s="1284"/>
      <c r="C2" s="1284"/>
      <c r="D2" s="1284"/>
      <c r="E2" s="5469">
        <v>1</v>
      </c>
      <c r="F2" s="1284"/>
      <c r="G2" s="1284"/>
      <c r="H2" s="1284"/>
      <c r="I2" s="1284"/>
      <c r="J2" s="1284"/>
      <c r="K2" s="1284"/>
      <c r="L2" s="1285"/>
      <c r="M2" s="1286"/>
      <c r="N2" s="1286"/>
      <c r="O2" s="1286"/>
      <c r="P2" s="299"/>
      <c r="Q2" s="298"/>
      <c r="R2" s="293"/>
      <c r="S2" s="1257" t="e">
        <f>INDEX(PT_DIFFERENTIATION_NUM_NTAR,MATCH(A2,PT_DIFFERENTIATION_NTAR_ID,0))</f>
        <v>#N/A</v>
      </c>
      <c r="T2" s="236" t="s">
        <v>155</v>
      </c>
      <c r="U2" s="238"/>
      <c r="V2" s="5463"/>
      <c r="W2" s="5464"/>
      <c r="X2" s="5464"/>
      <c r="Y2" s="5464"/>
      <c r="Z2" s="5464"/>
      <c r="AA2" s="5464"/>
      <c r="AB2" s="5464"/>
      <c r="AC2" s="5465"/>
      <c r="AD2" s="5463" t="e">
        <f>INDEX(PT_DIFFERENTIATION_NTAR,MATCH(A2,PT_DIFFERENTIATION_NTAR_ID,0))</f>
        <v>#N/A</v>
      </c>
      <c r="AE2" s="5464"/>
      <c r="AF2" s="5464"/>
      <c r="AG2" s="5464"/>
      <c r="AH2" s="5464"/>
      <c r="AI2" s="5464"/>
      <c r="AJ2" s="5464"/>
      <c r="AK2" s="5464"/>
      <c r="AL2" s="5465"/>
      <c r="AM2" s="1179" t="s">
        <v>489</v>
      </c>
      <c r="AO2" s="438"/>
      <c r="AP2" s="438" t="str">
        <f t="shared" ref="AP2:AP15" si="0">IF(T2="","",T2)</f>
        <v>Наименование тарифа</v>
      </c>
      <c r="AQ2" s="438"/>
      <c r="AR2" s="438"/>
      <c r="AS2" s="1076">
        <v>0</v>
      </c>
    </row>
    <row r="3" spans="1:45" ht="21" hidden="1" customHeight="1">
      <c r="A3" s="1284"/>
      <c r="B3" s="1284"/>
      <c r="C3" s="1284"/>
      <c r="D3" s="1284"/>
      <c r="E3" s="5470"/>
      <c r="F3" s="5469">
        <v>1</v>
      </c>
      <c r="G3" s="1284"/>
      <c r="H3" s="1284"/>
      <c r="I3" s="1284"/>
      <c r="J3" s="1284"/>
      <c r="K3" s="1284"/>
      <c r="L3" s="1285"/>
      <c r="M3" s="1286"/>
      <c r="N3" s="1286"/>
      <c r="O3" s="1286"/>
      <c r="P3" s="1253"/>
      <c r="Q3" s="290"/>
      <c r="R3" s="291"/>
      <c r="S3" s="1257" t="e">
        <f>INDEX(PT_DIFFERENTIATION_NUM_TER,MATCH(B3,PT_DIFFERENTIATION_TER_ID,0))</f>
        <v>#N/A</v>
      </c>
      <c r="T3" s="246" t="s">
        <v>490</v>
      </c>
      <c r="U3" s="238"/>
      <c r="V3" s="5463"/>
      <c r="W3" s="5464"/>
      <c r="X3" s="5464"/>
      <c r="Y3" s="5464"/>
      <c r="Z3" s="5464"/>
      <c r="AA3" s="5464"/>
      <c r="AB3" s="5464"/>
      <c r="AC3" s="5465"/>
      <c r="AD3" s="5463" t="e">
        <f>INDEX(PT_DIFFERENTIATION_TER,MATCH(B3,PT_DIFFERENTIATION_TER_ID,0))</f>
        <v>#N/A</v>
      </c>
      <c r="AE3" s="5464"/>
      <c r="AF3" s="5464"/>
      <c r="AG3" s="5464"/>
      <c r="AH3" s="5464"/>
      <c r="AI3" s="5464"/>
      <c r="AJ3" s="5464"/>
      <c r="AK3" s="5464"/>
      <c r="AL3" s="5465"/>
      <c r="AM3" s="1179" t="s">
        <v>491</v>
      </c>
      <c r="AO3" s="438"/>
      <c r="AP3" s="438" t="str">
        <f t="shared" si="0"/>
        <v>Территория действия тарифа</v>
      </c>
      <c r="AQ3" s="438"/>
      <c r="AR3" s="438"/>
      <c r="AS3" s="1076">
        <v>0</v>
      </c>
    </row>
    <row r="4" spans="1:45" ht="23.25" hidden="1" customHeight="1">
      <c r="A4" s="1284"/>
      <c r="B4" s="1284"/>
      <c r="C4" s="1284"/>
      <c r="D4" s="1284"/>
      <c r="E4" s="5470"/>
      <c r="F4" s="5470"/>
      <c r="G4" s="5469">
        <v>1</v>
      </c>
      <c r="H4" s="1284"/>
      <c r="I4" s="1284"/>
      <c r="J4" s="1284"/>
      <c r="K4" s="1284"/>
      <c r="L4" s="1285"/>
      <c r="M4" s="1286"/>
      <c r="N4" s="1286"/>
      <c r="O4" s="1286"/>
      <c r="P4" s="292"/>
      <c r="Q4" s="290"/>
      <c r="R4" s="291"/>
      <c r="S4" s="1257" t="e">
        <f>INDEX(PT_DIFFERENTIATION_NUM_CS,MATCH(C4,PT_DIFFERENTIATION_CS_ID,0))</f>
        <v>#N/A</v>
      </c>
      <c r="T4" s="247" t="s">
        <v>492</v>
      </c>
      <c r="U4" s="238"/>
      <c r="V4" s="5463"/>
      <c r="W4" s="5464"/>
      <c r="X4" s="5464"/>
      <c r="Y4" s="5464"/>
      <c r="Z4" s="5464"/>
      <c r="AA4" s="5464"/>
      <c r="AB4" s="5464"/>
      <c r="AC4" s="5465"/>
      <c r="AD4" s="5463" t="e">
        <f>INDEX(PT_DIFFERENTIATION_CS,MATCH(C4,PT_DIFFERENTIATION_CS_ID,0))</f>
        <v>#N/A</v>
      </c>
      <c r="AE4" s="5464"/>
      <c r="AF4" s="5464"/>
      <c r="AG4" s="5464"/>
      <c r="AH4" s="5464"/>
      <c r="AI4" s="5464"/>
      <c r="AJ4" s="5464"/>
      <c r="AK4" s="5464"/>
      <c r="AL4" s="5465"/>
      <c r="AM4" s="1179" t="s">
        <v>493</v>
      </c>
      <c r="AO4" s="438"/>
      <c r="AP4" s="438" t="str">
        <f t="shared" si="0"/>
        <v xml:space="preserve">Наименование системы теплоснабжения </v>
      </c>
      <c r="AQ4" s="438"/>
      <c r="AR4" s="438"/>
      <c r="AS4" s="1076">
        <v>0</v>
      </c>
    </row>
    <row r="5" spans="1:45" ht="21" hidden="1" customHeight="1">
      <c r="A5" s="1284"/>
      <c r="B5" s="1284"/>
      <c r="C5" s="1284"/>
      <c r="D5" s="1284"/>
      <c r="E5" s="5470"/>
      <c r="F5" s="5470"/>
      <c r="G5" s="5470"/>
      <c r="H5" s="5469">
        <v>1</v>
      </c>
      <c r="I5" s="1284"/>
      <c r="J5" s="1284"/>
      <c r="K5" s="1284"/>
      <c r="L5" s="1285"/>
      <c r="M5" s="1286"/>
      <c r="N5" s="1286"/>
      <c r="O5" s="1286"/>
      <c r="P5" s="292"/>
      <c r="Q5" s="290"/>
      <c r="R5" s="291"/>
      <c r="S5" s="1257" t="e">
        <f>INDEX(PT_DIFFERENTIATION_NUM_IST_TE,MATCH(D5,PT_DIFFERENTIATION_IST_TE_ID,0))</f>
        <v>#N/A</v>
      </c>
      <c r="T5" s="248" t="s">
        <v>494</v>
      </c>
      <c r="U5" s="238"/>
      <c r="V5" s="5463"/>
      <c r="W5" s="5464"/>
      <c r="X5" s="5464"/>
      <c r="Y5" s="5464"/>
      <c r="Z5" s="5464"/>
      <c r="AA5" s="5464"/>
      <c r="AB5" s="5464"/>
      <c r="AC5" s="5465"/>
      <c r="AD5" s="5463" t="e">
        <f>INDEX(PT_DIFFERENTIATION_IST_TE,MATCH(D5,PT_DIFFERENTIATION_IST_TE_ID,0))</f>
        <v>#N/A</v>
      </c>
      <c r="AE5" s="5464"/>
      <c r="AF5" s="5464"/>
      <c r="AG5" s="5464"/>
      <c r="AH5" s="5464"/>
      <c r="AI5" s="5464"/>
      <c r="AJ5" s="5464"/>
      <c r="AK5" s="5464"/>
      <c r="AL5" s="5465"/>
      <c r="AM5" s="1179" t="s">
        <v>495</v>
      </c>
      <c r="AO5" s="438"/>
      <c r="AP5" s="438" t="str">
        <f t="shared" si="0"/>
        <v xml:space="preserve">Источник тепловой энергии  </v>
      </c>
      <c r="AQ5" s="438"/>
      <c r="AR5" s="438"/>
      <c r="AS5" s="1076">
        <v>0</v>
      </c>
    </row>
    <row r="6" spans="1:45" ht="47.25" hidden="1" customHeight="1">
      <c r="A6" s="1284"/>
      <c r="B6" s="1284"/>
      <c r="C6" s="1284"/>
      <c r="D6" s="1284"/>
      <c r="E6" s="5470"/>
      <c r="F6" s="5470"/>
      <c r="G6" s="5470"/>
      <c r="H6" s="5470"/>
      <c r="I6" s="5471" t="e">
        <f>S5&amp;".1"</f>
        <v>#N/A</v>
      </c>
      <c r="J6" s="1284"/>
      <c r="K6" s="1284"/>
      <c r="L6" s="1285" t="s">
        <v>496</v>
      </c>
      <c r="M6" s="475"/>
      <c r="P6" s="5473">
        <v>1</v>
      </c>
      <c r="Q6" s="1252"/>
      <c r="R6" s="294"/>
      <c r="S6" s="1257" t="e">
        <f>$I6</f>
        <v>#N/A</v>
      </c>
      <c r="T6" s="223" t="s">
        <v>497</v>
      </c>
      <c r="U6" s="238"/>
      <c r="V6" s="5457"/>
      <c r="W6" s="5458"/>
      <c r="X6" s="5458"/>
      <c r="Y6" s="5458"/>
      <c r="Z6" s="5458"/>
      <c r="AA6" s="5458"/>
      <c r="AB6" s="5458"/>
      <c r="AC6" s="5459"/>
      <c r="AD6" s="5457"/>
      <c r="AE6" s="5458"/>
      <c r="AF6" s="5458"/>
      <c r="AG6" s="5458"/>
      <c r="AH6" s="5458"/>
      <c r="AI6" s="5458"/>
      <c r="AJ6" s="5458"/>
      <c r="AK6" s="5458"/>
      <c r="AL6" s="5459"/>
      <c r="AM6" s="1179" t="s">
        <v>498</v>
      </c>
      <c r="AO6" s="438"/>
      <c r="AP6" s="438" t="str">
        <f t="shared" si="0"/>
        <v>Схема подключения теплопотребляющей установки к коллектору источника тепловой энергии</v>
      </c>
      <c r="AQ6" s="438"/>
      <c r="AR6" s="438"/>
      <c r="AS6" s="1076">
        <v>0</v>
      </c>
    </row>
    <row r="7" spans="1:45" ht="21" hidden="1" customHeight="1">
      <c r="A7" s="1284"/>
      <c r="B7" s="1284"/>
      <c r="C7" s="1284"/>
      <c r="D7" s="1284"/>
      <c r="E7" s="5470"/>
      <c r="F7" s="5470"/>
      <c r="G7" s="5470"/>
      <c r="H7" s="5470"/>
      <c r="I7" s="5472"/>
      <c r="J7" s="5471" t="e">
        <f>I6&amp;".1"</f>
        <v>#N/A</v>
      </c>
      <c r="K7" s="1284"/>
      <c r="L7" s="1285" t="s">
        <v>499</v>
      </c>
      <c r="M7" s="475"/>
      <c r="N7" s="1287"/>
      <c r="P7" s="5473"/>
      <c r="Q7" s="5473">
        <v>1</v>
      </c>
      <c r="R7" s="295"/>
      <c r="S7" s="1257" t="e">
        <f>$J7</f>
        <v>#N/A</v>
      </c>
      <c r="T7" s="224" t="s">
        <v>500</v>
      </c>
      <c r="U7" s="238"/>
      <c r="V7" s="5457"/>
      <c r="W7" s="5458"/>
      <c r="X7" s="5458"/>
      <c r="Y7" s="5458"/>
      <c r="Z7" s="5458"/>
      <c r="AA7" s="5458"/>
      <c r="AB7" s="5458"/>
      <c r="AC7" s="5459"/>
      <c r="AD7" s="5457"/>
      <c r="AE7" s="5458"/>
      <c r="AF7" s="5458"/>
      <c r="AG7" s="5458"/>
      <c r="AH7" s="5458"/>
      <c r="AI7" s="5458"/>
      <c r="AJ7" s="5458"/>
      <c r="AK7" s="5458"/>
      <c r="AL7" s="5459"/>
      <c r="AM7" s="1179" t="s">
        <v>501</v>
      </c>
      <c r="AO7" s="438"/>
      <c r="AP7" s="438" t="str">
        <f t="shared" si="0"/>
        <v>Группа потребителей</v>
      </c>
      <c r="AQ7" s="438"/>
      <c r="AR7" s="438"/>
      <c r="AS7" s="1076">
        <v>0</v>
      </c>
    </row>
    <row r="8" spans="1:45" ht="21" hidden="1" customHeight="1">
      <c r="A8" s="1284"/>
      <c r="B8" s="1284"/>
      <c r="C8" s="1284"/>
      <c r="D8" s="1284"/>
      <c r="E8" s="5470"/>
      <c r="F8" s="5470"/>
      <c r="G8" s="5470"/>
      <c r="H8" s="5470"/>
      <c r="I8" s="5472"/>
      <c r="J8" s="5472"/>
      <c r="K8" s="5471" t="e">
        <f>J7&amp;".1"</f>
        <v>#N/A</v>
      </c>
      <c r="L8" s="1285" t="s">
        <v>502</v>
      </c>
      <c r="M8" s="475"/>
      <c r="N8" s="1287"/>
      <c r="O8" s="1287"/>
      <c r="P8" s="5473"/>
      <c r="Q8" s="5473"/>
      <c r="R8" s="295">
        <v>1</v>
      </c>
      <c r="S8" s="1257" t="e">
        <f>$K8</f>
        <v>#N/A</v>
      </c>
      <c r="T8" s="1268"/>
      <c r="U8" s="238"/>
      <c r="V8" s="689"/>
      <c r="W8" s="263"/>
      <c r="X8" s="689"/>
      <c r="Y8" s="1178"/>
      <c r="Z8" s="5474"/>
      <c r="AA8" s="5338" t="s">
        <v>66</v>
      </c>
      <c r="AB8" s="5474"/>
      <c r="AC8" s="5338" t="s">
        <v>66</v>
      </c>
      <c r="AD8" s="689"/>
      <c r="AE8" s="263"/>
      <c r="AF8" s="689"/>
      <c r="AG8" s="1178"/>
      <c r="AH8" s="5474"/>
      <c r="AI8" s="5338" t="s">
        <v>66</v>
      </c>
      <c r="AJ8" s="5474"/>
      <c r="AK8" s="5338" t="s">
        <v>66</v>
      </c>
      <c r="AL8" s="263"/>
      <c r="AM8" s="5492" t="s">
        <v>503</v>
      </c>
      <c r="AN8" s="449" t="e">
        <f ca="1">STRCHECKDATE(V9:AL9)</f>
        <v>#NAME?</v>
      </c>
      <c r="AO8" s="438"/>
      <c r="AP8" s="438" t="str">
        <f t="shared" si="0"/>
        <v/>
      </c>
      <c r="AQ8" s="438"/>
      <c r="AR8" s="438"/>
      <c r="AS8" s="1076">
        <v>0</v>
      </c>
    </row>
    <row r="9" spans="1:45" ht="0.75" hidden="1" customHeight="1">
      <c r="A9" s="1284"/>
      <c r="B9" s="1284"/>
      <c r="C9" s="1284"/>
      <c r="D9" s="1284"/>
      <c r="E9" s="5470"/>
      <c r="F9" s="5470"/>
      <c r="G9" s="5470"/>
      <c r="H9" s="5470"/>
      <c r="I9" s="5472"/>
      <c r="J9" s="5472"/>
      <c r="K9" s="5471"/>
      <c r="L9" s="1285"/>
      <c r="M9" s="475"/>
      <c r="N9" s="1287"/>
      <c r="O9" s="1287"/>
      <c r="P9" s="5473"/>
      <c r="Q9" s="5473"/>
      <c r="R9" s="295"/>
      <c r="S9" s="1263"/>
      <c r="T9" s="238"/>
      <c r="U9" s="238"/>
      <c r="V9" s="263"/>
      <c r="W9" s="263"/>
      <c r="X9" s="263"/>
      <c r="Y9" s="266" t="str">
        <f>Z8&amp;"-"&amp;AB8</f>
        <v>-</v>
      </c>
      <c r="Z9" s="5475"/>
      <c r="AA9" s="5338"/>
      <c r="AB9" s="5475"/>
      <c r="AC9" s="5338"/>
      <c r="AD9" s="263"/>
      <c r="AE9" s="263"/>
      <c r="AF9" s="263"/>
      <c r="AG9" s="266" t="str">
        <f>AH8&amp;"-"&amp;AJ8</f>
        <v>-</v>
      </c>
      <c r="AH9" s="5475"/>
      <c r="AI9" s="5338"/>
      <c r="AJ9" s="5475"/>
      <c r="AK9" s="5338"/>
      <c r="AL9" s="263"/>
      <c r="AM9" s="5493"/>
      <c r="AO9" s="438"/>
      <c r="AP9" s="438" t="str">
        <f t="shared" si="0"/>
        <v/>
      </c>
      <c r="AQ9" s="438"/>
      <c r="AR9" s="438"/>
      <c r="AS9" s="1076">
        <v>0</v>
      </c>
    </row>
    <row r="10" spans="1:45" ht="15" hidden="1" customHeight="1">
      <c r="A10" s="1284"/>
      <c r="B10" s="1284"/>
      <c r="C10" s="1284"/>
      <c r="D10" s="1284"/>
      <c r="E10" s="5470"/>
      <c r="F10" s="5470"/>
      <c r="G10" s="5470"/>
      <c r="H10" s="5470"/>
      <c r="I10" s="5472"/>
      <c r="J10" s="5471"/>
      <c r="K10" s="1284"/>
      <c r="L10" s="1285"/>
      <c r="M10" s="475"/>
      <c r="N10" s="1287"/>
      <c r="P10" s="5473"/>
      <c r="Q10" s="5473"/>
      <c r="R10" s="294"/>
      <c r="S10" s="1199"/>
      <c r="T10" s="226" t="s">
        <v>504</v>
      </c>
      <c r="U10" s="305"/>
      <c r="V10" s="305"/>
      <c r="W10" s="305"/>
      <c r="X10" s="305"/>
      <c r="Y10" s="305"/>
      <c r="Z10" s="305"/>
      <c r="AA10" s="305"/>
      <c r="AB10" s="305"/>
      <c r="AC10" s="305"/>
      <c r="AD10" s="305"/>
      <c r="AE10" s="305"/>
      <c r="AF10" s="305"/>
      <c r="AG10" s="305"/>
      <c r="AH10" s="305"/>
      <c r="AI10" s="305"/>
      <c r="AJ10" s="305"/>
      <c r="AK10" s="305"/>
      <c r="AL10" s="262"/>
      <c r="AM10" s="5494"/>
      <c r="AO10" s="438"/>
      <c r="AP10" s="438" t="str">
        <f t="shared" si="0"/>
        <v>Добавить вид теплоносителя (параметры теплоносителя)</v>
      </c>
      <c r="AQ10" s="438"/>
      <c r="AR10" s="438"/>
      <c r="AS10" s="1076">
        <v>0</v>
      </c>
    </row>
    <row r="11" spans="1:45" ht="15" hidden="1" customHeight="1">
      <c r="A11" s="1284"/>
      <c r="B11" s="1284"/>
      <c r="C11" s="1284"/>
      <c r="D11" s="1284"/>
      <c r="E11" s="5470"/>
      <c r="F11" s="5470"/>
      <c r="G11" s="5470"/>
      <c r="H11" s="5470"/>
      <c r="I11" s="5471"/>
      <c r="J11" s="1284"/>
      <c r="K11" s="1284"/>
      <c r="L11" s="1285"/>
      <c r="M11" s="475"/>
      <c r="P11" s="5473"/>
      <c r="Q11" s="1252"/>
      <c r="R11" s="294"/>
      <c r="S11" s="1199"/>
      <c r="T11" s="225" t="s">
        <v>505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76">
        <v>0</v>
      </c>
    </row>
    <row r="12" spans="1:45" ht="14.25" hidden="1" customHeight="1">
      <c r="A12" s="1284"/>
      <c r="B12" s="1284"/>
      <c r="C12" s="1284"/>
      <c r="D12" s="1284"/>
      <c r="E12" s="5470"/>
      <c r="F12" s="5470"/>
      <c r="G12" s="5470"/>
      <c r="H12" s="5469"/>
      <c r="I12" s="1284"/>
      <c r="J12" s="1284"/>
      <c r="K12" s="1284"/>
      <c r="L12" s="1285"/>
      <c r="M12" s="1286"/>
      <c r="N12" s="1286"/>
      <c r="O12" s="475"/>
      <c r="P12" s="298"/>
      <c r="Q12" s="313"/>
      <c r="R12" s="293"/>
      <c r="S12" s="1199"/>
      <c r="T12" s="303" t="s">
        <v>506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76">
        <v>0</v>
      </c>
    </row>
    <row r="13" spans="1:45" s="4275" customFormat="1" ht="0.75" hidden="1" customHeight="1">
      <c r="A13" s="1235"/>
      <c r="B13" s="1235"/>
      <c r="C13" s="1235"/>
      <c r="D13" s="1235"/>
      <c r="E13" s="5470"/>
      <c r="F13" s="5470"/>
      <c r="G13" s="5469"/>
      <c r="H13" s="1235"/>
      <c r="I13" s="1235"/>
      <c r="J13" s="1235"/>
      <c r="K13" s="1235"/>
      <c r="L13" s="1260"/>
      <c r="M13" s="1236"/>
      <c r="N13" s="1236"/>
      <c r="P13" s="1237"/>
      <c r="Q13" s="1238"/>
      <c r="R13" s="1237"/>
      <c r="S13" s="1239"/>
      <c r="T13" s="1240" t="s">
        <v>507</v>
      </c>
      <c r="U13" s="1241"/>
      <c r="V13" s="1241"/>
      <c r="W13" s="1241"/>
      <c r="X13" s="1241"/>
      <c r="Y13" s="1241"/>
      <c r="Z13" s="1241"/>
      <c r="AA13" s="1241"/>
      <c r="AB13" s="1241"/>
      <c r="AC13" s="1241"/>
      <c r="AD13" s="1241"/>
      <c r="AE13" s="1241"/>
      <c r="AF13" s="1241"/>
      <c r="AG13" s="1241"/>
      <c r="AH13" s="1241"/>
      <c r="AI13" s="1241"/>
      <c r="AJ13" s="1241"/>
      <c r="AK13" s="1241"/>
      <c r="AL13" s="1241"/>
      <c r="AM13" s="1241"/>
      <c r="AO13" s="721"/>
      <c r="AP13" s="721" t="str">
        <f t="shared" si="0"/>
        <v>Добавить источник для дифференциации</v>
      </c>
      <c r="AQ13" s="721"/>
      <c r="AR13" s="721"/>
      <c r="AS13" s="456">
        <v>0</v>
      </c>
    </row>
    <row r="14" spans="1:45" s="4275" customFormat="1" ht="0.75" hidden="1" customHeight="1">
      <c r="A14" s="1235"/>
      <c r="B14" s="1235"/>
      <c r="C14" s="1235"/>
      <c r="D14" s="1235"/>
      <c r="E14" s="5470"/>
      <c r="F14" s="5469"/>
      <c r="G14" s="1235"/>
      <c r="H14" s="1235"/>
      <c r="I14" s="1235"/>
      <c r="J14" s="1235"/>
      <c r="K14" s="1235"/>
      <c r="L14" s="1260"/>
      <c r="M14" s="1242"/>
      <c r="N14" s="1242"/>
      <c r="P14" s="1237"/>
      <c r="Q14" s="1238"/>
      <c r="R14" s="1237"/>
      <c r="S14" s="1243"/>
      <c r="T14" s="1244" t="s">
        <v>312</v>
      </c>
      <c r="U14" s="1245"/>
      <c r="V14" s="1245"/>
      <c r="W14" s="1245"/>
      <c r="X14" s="1245"/>
      <c r="Y14" s="1245"/>
      <c r="Z14" s="1245"/>
      <c r="AA14" s="1245"/>
      <c r="AB14" s="1245"/>
      <c r="AC14" s="1245"/>
      <c r="AD14" s="1245"/>
      <c r="AE14" s="1245"/>
      <c r="AF14" s="1245"/>
      <c r="AG14" s="1245"/>
      <c r="AH14" s="1245"/>
      <c r="AI14" s="1245"/>
      <c r="AJ14" s="1245"/>
      <c r="AK14" s="1245"/>
      <c r="AL14" s="1245"/>
      <c r="AM14" s="1245"/>
      <c r="AO14" s="721"/>
      <c r="AP14" s="721" t="str">
        <f t="shared" si="0"/>
        <v>Добавить централизованную систему для дифференциации</v>
      </c>
      <c r="AQ14" s="721"/>
      <c r="AR14" s="721"/>
      <c r="AS14" s="456">
        <v>0</v>
      </c>
    </row>
    <row r="15" spans="1:45" s="4275" customFormat="1" ht="0.75" hidden="1" customHeight="1">
      <c r="A15" s="1235"/>
      <c r="B15" s="1235"/>
      <c r="C15" s="1235"/>
      <c r="D15" s="1235"/>
      <c r="E15" s="5469"/>
      <c r="F15" s="1235"/>
      <c r="G15" s="1235"/>
      <c r="H15" s="1235"/>
      <c r="I15" s="1235"/>
      <c r="J15" s="1235"/>
      <c r="K15" s="1235"/>
      <c r="L15" s="1260"/>
      <c r="M15" s="1242"/>
      <c r="N15" s="1242"/>
      <c r="P15" s="1237"/>
      <c r="Q15" s="1238"/>
      <c r="R15" s="1237"/>
      <c r="S15" s="1243"/>
      <c r="T15" s="1246" t="s">
        <v>360</v>
      </c>
      <c r="U15" s="1245"/>
      <c r="V15" s="1245"/>
      <c r="W15" s="1245"/>
      <c r="X15" s="1245"/>
      <c r="Y15" s="1245"/>
      <c r="Z15" s="1245"/>
      <c r="AA15" s="1245"/>
      <c r="AB15" s="1245"/>
      <c r="AC15" s="1245"/>
      <c r="AD15" s="1245"/>
      <c r="AE15" s="1245"/>
      <c r="AF15" s="1245"/>
      <c r="AG15" s="1245"/>
      <c r="AH15" s="1245"/>
      <c r="AI15" s="1245"/>
      <c r="AJ15" s="1245"/>
      <c r="AK15" s="1245"/>
      <c r="AL15" s="1245"/>
      <c r="AM15" s="1245"/>
      <c r="AO15" s="721"/>
      <c r="AP15" s="721" t="str">
        <f t="shared" si="0"/>
        <v>Добавить территорию для дифференциации</v>
      </c>
      <c r="AQ15" s="721"/>
      <c r="AR15" s="721"/>
      <c r="AS15" s="456">
        <v>0</v>
      </c>
    </row>
    <row r="16" spans="1:45" ht="14.25" hidden="1" customHeight="1">
      <c r="AC16" s="265"/>
      <c r="AK16" s="265"/>
      <c r="AS16" s="1076">
        <v>0</v>
      </c>
    </row>
    <row r="17" spans="1:45" ht="14.25" hidden="1" customHeight="1">
      <c r="AD17" s="1281"/>
      <c r="AE17" s="1281"/>
      <c r="AF17" s="1281"/>
      <c r="AG17" s="1282"/>
      <c r="AH17" s="5467"/>
      <c r="AI17" s="5466" t="s">
        <v>66</v>
      </c>
      <c r="AJ17" s="5467"/>
      <c r="AK17" s="5466" t="s">
        <v>66</v>
      </c>
      <c r="AS17" s="1076">
        <v>0</v>
      </c>
    </row>
    <row r="18" spans="1:45" ht="14.25" hidden="1" customHeight="1">
      <c r="AD18" s="1281"/>
      <c r="AE18" s="1281"/>
      <c r="AF18" s="1281"/>
      <c r="AG18" s="266" t="str">
        <f>AH17&amp;"-"&amp;AJ17</f>
        <v>-</v>
      </c>
      <c r="AH18" s="5466"/>
      <c r="AI18" s="5466"/>
      <c r="AJ18" s="5466"/>
      <c r="AK18" s="5466"/>
      <c r="AS18" s="1076">
        <v>0</v>
      </c>
    </row>
    <row r="19" spans="1:45" ht="14.25" hidden="1" customHeight="1">
      <c r="AK19" s="265"/>
      <c r="AS19" s="1076">
        <v>0</v>
      </c>
    </row>
    <row r="20" spans="1:45" s="4274" customFormat="1" ht="22.5" hidden="1" customHeight="1">
      <c r="L20" s="1250"/>
      <c r="M20" s="1283"/>
      <c r="N20" s="1283"/>
      <c r="O20" s="1288" t="s">
        <v>508</v>
      </c>
      <c r="P20" s="1283"/>
      <c r="Q20" s="1292"/>
      <c r="R20" s="1292"/>
      <c r="S20" s="667"/>
      <c r="Z20" s="1288"/>
      <c r="AB20" s="1288"/>
      <c r="AC20" s="1287"/>
      <c r="AH20" s="1288"/>
      <c r="AJ20" s="1288"/>
      <c r="AK20" s="1287"/>
      <c r="AN20" s="449"/>
      <c r="AO20" s="449"/>
      <c r="AP20" s="449"/>
      <c r="AQ20" s="449"/>
      <c r="AR20" s="449"/>
      <c r="AS20" s="1081">
        <v>0</v>
      </c>
    </row>
    <row r="21" spans="1:45" s="4274" customFormat="1" ht="14.25" hidden="1" customHeight="1">
      <c r="L21" s="1250"/>
      <c r="M21" s="1283"/>
      <c r="N21" s="1283"/>
      <c r="O21" s="1283"/>
      <c r="P21" s="1283"/>
      <c r="Q21" s="1292"/>
      <c r="R21" s="1292"/>
      <c r="S21" s="667"/>
      <c r="AC21" s="1287"/>
      <c r="AK21" s="1287"/>
      <c r="AN21" s="449"/>
      <c r="AO21" s="449"/>
      <c r="AP21" s="449"/>
      <c r="AQ21" s="449"/>
      <c r="AR21" s="449"/>
      <c r="AS21" s="1081">
        <v>0</v>
      </c>
    </row>
    <row r="22" spans="1:45" s="4274" customFormat="1" ht="14.25" hidden="1" customHeight="1">
      <c r="L22" s="1250"/>
      <c r="M22" s="1283"/>
      <c r="N22" s="1283"/>
      <c r="O22" s="1285" t="s">
        <v>509</v>
      </c>
      <c r="P22" s="1283"/>
      <c r="Q22" s="1292"/>
      <c r="R22" s="1292"/>
      <c r="S22" s="667"/>
      <c r="T22" s="1081" t="s">
        <v>510</v>
      </c>
      <c r="AA22" s="124" t="s">
        <v>511</v>
      </c>
      <c r="AC22" s="124" t="s">
        <v>512</v>
      </c>
      <c r="AD22" s="1081" t="s">
        <v>510</v>
      </c>
      <c r="AI22" s="124" t="s">
        <v>513</v>
      </c>
      <c r="AK22" s="124" t="s">
        <v>512</v>
      </c>
      <c r="AN22" s="449"/>
      <c r="AO22" s="449"/>
      <c r="AP22" s="449"/>
      <c r="AQ22" s="449"/>
      <c r="AR22" s="449"/>
      <c r="AS22" s="1081">
        <v>0</v>
      </c>
    </row>
    <row r="23" spans="1:45" ht="14.25" hidden="1" customHeight="1">
      <c r="O23" s="1285"/>
      <c r="AS23" s="1076">
        <v>0</v>
      </c>
    </row>
    <row r="24" spans="1:45" ht="14.25" hidden="1" customHeight="1">
      <c r="O24" s="1285"/>
      <c r="AS24" s="1076">
        <v>0</v>
      </c>
    </row>
    <row r="25" spans="1:45" ht="14.65" customHeight="1">
      <c r="Q25" s="314"/>
      <c r="R25" s="314"/>
      <c r="S25" s="1196"/>
      <c r="T25" s="301"/>
      <c r="U25" s="301"/>
      <c r="V25" s="447"/>
      <c r="W25" s="447"/>
      <c r="X25" s="447"/>
      <c r="Y25" s="447"/>
      <c r="Z25" s="447"/>
      <c r="AA25" s="447"/>
      <c r="AB25" s="447"/>
      <c r="AC25" s="447"/>
      <c r="AD25" s="447"/>
      <c r="AE25" s="447"/>
      <c r="AF25" s="447"/>
      <c r="AG25" s="447"/>
      <c r="AH25" s="447"/>
      <c r="AI25" s="447"/>
      <c r="AJ25" s="447"/>
      <c r="AK25" s="447"/>
      <c r="AS25" s="1076">
        <v>14</v>
      </c>
    </row>
    <row r="26" spans="1:45" ht="14.65" customHeight="1">
      <c r="Q26" s="314"/>
      <c r="R26" s="314"/>
      <c r="S26" s="5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450"/>
      <c r="U26" s="5450"/>
      <c r="V26" s="5450"/>
      <c r="W26" s="5450"/>
      <c r="X26" s="5450"/>
      <c r="Y26" s="5450"/>
      <c r="Z26" s="5450"/>
      <c r="AA26" s="5450"/>
      <c r="AB26" s="5450"/>
      <c r="AC26" s="5450"/>
      <c r="AD26" s="5450"/>
      <c r="AE26" s="5450"/>
      <c r="AF26" s="5450"/>
      <c r="AG26" s="5450"/>
      <c r="AH26" s="5450"/>
      <c r="AI26" s="5450"/>
      <c r="AJ26" s="5450"/>
      <c r="AK26" s="1164"/>
      <c r="AS26" s="1076">
        <v>14</v>
      </c>
    </row>
    <row r="27" spans="1:45" ht="14.65" customHeight="1">
      <c r="Q27" s="314"/>
      <c r="R27" s="314"/>
      <c r="S27" s="5423" t="str">
        <f>IF(org=0,"Не определено",org)</f>
        <v>КГУП "Примтеплоэнерго"</v>
      </c>
      <c r="T27" s="5423"/>
      <c r="U27" s="5423"/>
      <c r="V27" s="5423"/>
      <c r="W27" s="5423"/>
      <c r="X27" s="5423"/>
      <c r="Y27" s="5423"/>
      <c r="Z27" s="5423"/>
      <c r="AA27" s="5423"/>
      <c r="AB27" s="5423"/>
      <c r="AC27" s="5423"/>
      <c r="AD27" s="5423"/>
      <c r="AE27" s="5423"/>
      <c r="AF27" s="5423"/>
      <c r="AG27" s="5423"/>
      <c r="AH27" s="5423"/>
      <c r="AI27" s="5423"/>
      <c r="AJ27" s="5423"/>
      <c r="AK27" s="1164"/>
      <c r="AS27" s="1076">
        <v>14</v>
      </c>
    </row>
    <row r="28" spans="1:45" ht="14.25" hidden="1" customHeight="1">
      <c r="Q28" s="314"/>
      <c r="R28" s="314"/>
      <c r="S28" s="1196"/>
      <c r="T28" s="301"/>
      <c r="U28" s="301"/>
      <c r="V28" s="260"/>
      <c r="W28" s="260"/>
      <c r="X28" s="260"/>
      <c r="Y28" s="260"/>
      <c r="Z28" s="260"/>
      <c r="AA28" s="260"/>
      <c r="AB28" s="260"/>
      <c r="AC28" s="260"/>
      <c r="AD28" s="260"/>
      <c r="AE28" s="260"/>
      <c r="AF28" s="260"/>
      <c r="AG28" s="260"/>
      <c r="AH28" s="260"/>
      <c r="AI28" s="260"/>
      <c r="AJ28" s="260"/>
      <c r="AK28" s="260"/>
      <c r="AL28" s="447"/>
      <c r="AS28" s="1076">
        <v>0</v>
      </c>
    </row>
    <row r="29" spans="1:45" s="4284" customFormat="1" ht="25.5" hidden="1" customHeight="1">
      <c r="A29" s="1289"/>
      <c r="B29" s="1289"/>
      <c r="C29" s="1289"/>
      <c r="D29" s="1289"/>
      <c r="E29" s="1289"/>
      <c r="F29" s="1289"/>
      <c r="G29" s="1289"/>
      <c r="H29" s="1289"/>
      <c r="I29" s="1289"/>
      <c r="J29" s="1289"/>
      <c r="K29" s="1289"/>
      <c r="L29" s="1290"/>
      <c r="M29" s="1289"/>
      <c r="N29" s="1289"/>
      <c r="O29" s="1289"/>
      <c r="S29" s="5460" t="s">
        <v>42</v>
      </c>
      <c r="T29" s="5460"/>
      <c r="U29" s="1293"/>
      <c r="V29" s="5462" t="str">
        <f>IF(TITLE_NAME_OR_PR_CHANGE="",IF(TITLE_NAME_OR_PR="","",TITLE_NAME_OR_PR),TITLE_NAME_OR_PR_CHANGE)</f>
        <v/>
      </c>
      <c r="W29" s="5462"/>
      <c r="X29" s="5462"/>
      <c r="Y29" s="5462"/>
      <c r="Z29" s="5462"/>
      <c r="AA29" s="5462"/>
      <c r="AB29" s="5462"/>
      <c r="AC29" s="264"/>
      <c r="AD29" s="5462" t="str">
        <f>IF(TITLE_NAME_OR_PR_CHANGE="",IF(TITLE_NAME_OR_PR="","",TITLE_NAME_OR_PR),TITLE_NAME_OR_PR_CHANGE)</f>
        <v/>
      </c>
      <c r="AE29" s="5462"/>
      <c r="AF29" s="5462"/>
      <c r="AG29" s="5462"/>
      <c r="AH29" s="5462"/>
      <c r="AI29" s="5462"/>
      <c r="AJ29" s="5462"/>
      <c r="AK29" s="264"/>
      <c r="AL29" s="264"/>
      <c r="AM29" s="218"/>
      <c r="AN29" s="306"/>
      <c r="AO29" s="306"/>
      <c r="AP29" s="306"/>
      <c r="AQ29" s="306"/>
      <c r="AR29" s="306"/>
      <c r="AS29" s="356">
        <v>0</v>
      </c>
    </row>
    <row r="30" spans="1:45" s="4284" customFormat="1" ht="18.75" hidden="1" customHeight="1">
      <c r="A30" s="1289"/>
      <c r="B30" s="1289"/>
      <c r="C30" s="1289"/>
      <c r="D30" s="1289"/>
      <c r="E30" s="1289"/>
      <c r="F30" s="1289"/>
      <c r="G30" s="1289"/>
      <c r="H30" s="1289"/>
      <c r="I30" s="1289"/>
      <c r="J30" s="1289"/>
      <c r="K30" s="1289"/>
      <c r="L30" s="1290"/>
      <c r="M30" s="1289"/>
      <c r="N30" s="1289"/>
      <c r="O30" s="1289"/>
      <c r="S30" s="5460" t="s">
        <v>514</v>
      </c>
      <c r="T30" s="5460"/>
      <c r="U30" s="1293"/>
      <c r="V30" s="5461">
        <f>IF(TITLE_DATE_PR_CHANGE="",IF(TITLE_DATE_PR="","",TITLE_DATE_PR),TITLE_DATE_PR_CHANGE)</f>
        <v>45649.605891203704</v>
      </c>
      <c r="W30" s="5461"/>
      <c r="X30" s="5461"/>
      <c r="Y30" s="5461"/>
      <c r="Z30" s="5461"/>
      <c r="AA30" s="5461"/>
      <c r="AB30" s="5461"/>
      <c r="AC30" s="264"/>
      <c r="AD30" s="5461">
        <f>IF(TITLE_DATE_PR_CHANGE="",IF(TITLE_DATE_PR="","",TITLE_DATE_PR),TITLE_DATE_PR_CHANGE)</f>
        <v>45649.605891203704</v>
      </c>
      <c r="AE30" s="5461"/>
      <c r="AF30" s="5461"/>
      <c r="AG30" s="5461"/>
      <c r="AH30" s="5461"/>
      <c r="AI30" s="5461"/>
      <c r="AJ30" s="5461"/>
      <c r="AK30" s="264"/>
      <c r="AL30" s="264"/>
      <c r="AM30" s="218"/>
      <c r="AN30" s="306"/>
      <c r="AO30" s="306"/>
      <c r="AP30" s="306"/>
      <c r="AQ30" s="306"/>
      <c r="AR30" s="306"/>
      <c r="AS30" s="356">
        <v>0</v>
      </c>
    </row>
    <row r="31" spans="1:45" s="4284" customFormat="1" ht="18.75" hidden="1" customHeight="1">
      <c r="A31" s="1289"/>
      <c r="B31" s="1289"/>
      <c r="C31" s="1289"/>
      <c r="D31" s="1289"/>
      <c r="E31" s="1289"/>
      <c r="F31" s="1289"/>
      <c r="G31" s="1289"/>
      <c r="H31" s="1289"/>
      <c r="I31" s="1289"/>
      <c r="J31" s="1289"/>
      <c r="K31" s="1289"/>
      <c r="L31" s="1290"/>
      <c r="M31" s="1289"/>
      <c r="N31" s="1289"/>
      <c r="O31" s="1289"/>
      <c r="S31" s="5460" t="s">
        <v>515</v>
      </c>
      <c r="T31" s="5460"/>
      <c r="U31" s="1293"/>
      <c r="V31" s="5462" t="str">
        <f>IF(TITLE_NUMBER_PR_CHANGE="",IF(TITLE_NUMBER_PR="","",TITLE_NUMBER_PR),TITLE_NUMBER_PR_CHANGE)</f>
        <v>27-6414</v>
      </c>
      <c r="W31" s="5462"/>
      <c r="X31" s="5462"/>
      <c r="Y31" s="5462"/>
      <c r="Z31" s="5462"/>
      <c r="AA31" s="5462"/>
      <c r="AB31" s="5462"/>
      <c r="AC31" s="264"/>
      <c r="AD31" s="5462" t="str">
        <f>IF(TITLE_NUMBER_PR_CHANGE="",IF(TITLE_NUMBER_PR="","",TITLE_NUMBER_PR),TITLE_NUMBER_PR_CHANGE)</f>
        <v>27-6414</v>
      </c>
      <c r="AE31" s="5462"/>
      <c r="AF31" s="5462"/>
      <c r="AG31" s="5462"/>
      <c r="AH31" s="5462"/>
      <c r="AI31" s="5462"/>
      <c r="AJ31" s="5462"/>
      <c r="AK31" s="264"/>
      <c r="AL31" s="264"/>
      <c r="AM31" s="218"/>
      <c r="AN31" s="306"/>
      <c r="AO31" s="306"/>
      <c r="AP31" s="306"/>
      <c r="AQ31" s="306"/>
      <c r="AR31" s="306"/>
      <c r="AS31" s="356">
        <v>0</v>
      </c>
    </row>
    <row r="32" spans="1:45" s="4284" customFormat="1" ht="18.75" hidden="1" customHeight="1">
      <c r="A32" s="1289"/>
      <c r="B32" s="1289"/>
      <c r="C32" s="1289"/>
      <c r="D32" s="1289"/>
      <c r="E32" s="1289"/>
      <c r="F32" s="1289"/>
      <c r="G32" s="1289"/>
      <c r="H32" s="1289"/>
      <c r="I32" s="1289"/>
      <c r="J32" s="1289"/>
      <c r="K32" s="1289"/>
      <c r="L32" s="1290"/>
      <c r="M32" s="1289"/>
      <c r="N32" s="1289"/>
      <c r="O32" s="1289"/>
      <c r="S32" s="5460" t="s">
        <v>43</v>
      </c>
      <c r="T32" s="5460"/>
      <c r="U32" s="1293"/>
      <c r="V32" s="5462" t="str">
        <f>IF(TITLE_IST_PUB_CHANGE="",IF(TITLE_IST_PUB="","",TITLE_IST_PUB),TITLE_IST_PUB_CHANGE)</f>
        <v/>
      </c>
      <c r="W32" s="5462"/>
      <c r="X32" s="5462"/>
      <c r="Y32" s="5462"/>
      <c r="Z32" s="5462"/>
      <c r="AA32" s="5462"/>
      <c r="AB32" s="5462"/>
      <c r="AC32" s="264"/>
      <c r="AD32" s="5462" t="str">
        <f>IF(TITLE_IST_PUB_CHANGE="",IF(TITLE_IST_PUB="","",TITLE_IST_PUB),TITLE_IST_PUB_CHANGE)</f>
        <v/>
      </c>
      <c r="AE32" s="5462"/>
      <c r="AF32" s="5462"/>
      <c r="AG32" s="5462"/>
      <c r="AH32" s="5462"/>
      <c r="AI32" s="5462"/>
      <c r="AJ32" s="5462"/>
      <c r="AK32" s="264"/>
      <c r="AL32" s="264"/>
      <c r="AM32" s="218"/>
      <c r="AN32" s="306"/>
      <c r="AO32" s="306"/>
      <c r="AP32" s="306"/>
      <c r="AQ32" s="306"/>
      <c r="AR32" s="306"/>
      <c r="AS32" s="356">
        <v>0</v>
      </c>
    </row>
    <row r="33" spans="1:45" ht="14.25" customHeight="1">
      <c r="Q33" s="314"/>
      <c r="R33" s="314"/>
      <c r="S33" s="1196"/>
      <c r="T33" s="301"/>
      <c r="U33" s="301"/>
      <c r="V33" s="260"/>
      <c r="W33" s="260"/>
      <c r="X33" s="260"/>
      <c r="Y33" s="260"/>
      <c r="Z33" s="260"/>
      <c r="AA33" s="260"/>
      <c r="AB33" s="260"/>
      <c r="AC33" s="260"/>
      <c r="AD33" s="260"/>
      <c r="AE33" s="260"/>
      <c r="AF33" s="260"/>
      <c r="AG33" s="260"/>
      <c r="AH33" s="260"/>
      <c r="AI33" s="260"/>
      <c r="AJ33" s="260"/>
      <c r="AK33" s="260"/>
      <c r="AL33" s="447"/>
      <c r="AS33" s="1076">
        <v>0</v>
      </c>
    </row>
    <row r="34" spans="1:45" s="4284" customFormat="1" ht="18.75" customHeight="1">
      <c r="A34" s="1289"/>
      <c r="B34" s="1289"/>
      <c r="C34" s="1289"/>
      <c r="D34" s="1289"/>
      <c r="E34" s="1289"/>
      <c r="F34" s="1289"/>
      <c r="G34" s="1289"/>
      <c r="H34" s="1289"/>
      <c r="I34" s="1289"/>
      <c r="J34" s="1289"/>
      <c r="K34" s="1289"/>
      <c r="L34" s="1290"/>
      <c r="M34" s="1289"/>
      <c r="N34" s="1289"/>
      <c r="O34" s="1289"/>
      <c r="S34" s="5460" t="s">
        <v>516</v>
      </c>
      <c r="T34" s="5460"/>
      <c r="U34" s="1293"/>
      <c r="V34" s="5461">
        <f>IF(TITLE_DATE_PR_CHANGE="",IF(TITLE_DATE_PR="","",TITLE_DATE_PR),TITLE_DATE_PR_CHANGE)</f>
        <v>45649.605891203704</v>
      </c>
      <c r="W34" s="5461"/>
      <c r="X34" s="5461"/>
      <c r="Y34" s="5461"/>
      <c r="Z34" s="5461"/>
      <c r="AA34" s="5461"/>
      <c r="AB34" s="5461"/>
      <c r="AC34" s="264"/>
      <c r="AD34" s="5461">
        <f>IF(TITLE_DATE_PR_CHANGE="",IF(TITLE_DATE_PR="","",TITLE_DATE_PR),TITLE_DATE_PR_CHANGE)</f>
        <v>45649.605891203704</v>
      </c>
      <c r="AE34" s="5461"/>
      <c r="AF34" s="5461"/>
      <c r="AG34" s="5461"/>
      <c r="AH34" s="5461"/>
      <c r="AI34" s="5461"/>
      <c r="AJ34" s="5461"/>
      <c r="AK34" s="264"/>
      <c r="AL34" s="264"/>
      <c r="AM34" s="218"/>
      <c r="AN34" s="306"/>
      <c r="AO34" s="306"/>
      <c r="AP34" s="306"/>
      <c r="AQ34" s="306"/>
      <c r="AR34" s="306"/>
      <c r="AS34" s="356">
        <v>0</v>
      </c>
    </row>
    <row r="35" spans="1:45" s="4284" customFormat="1" ht="18.75" customHeight="1">
      <c r="A35" s="1289"/>
      <c r="B35" s="1289"/>
      <c r="C35" s="1289"/>
      <c r="D35" s="1289"/>
      <c r="E35" s="1289"/>
      <c r="F35" s="1289"/>
      <c r="G35" s="1289"/>
      <c r="H35" s="1289"/>
      <c r="I35" s="1289"/>
      <c r="J35" s="1289"/>
      <c r="K35" s="1289"/>
      <c r="L35" s="1290"/>
      <c r="M35" s="1289"/>
      <c r="N35" s="1289"/>
      <c r="O35" s="1289"/>
      <c r="S35" s="5460" t="s">
        <v>517</v>
      </c>
      <c r="T35" s="5460"/>
      <c r="U35" s="1293"/>
      <c r="V35" s="5462" t="str">
        <f>IF(TITLE_NUMBER_PR_CHANGE="",IF(TITLE_NUMBER_PR="","",TITLE_NUMBER_PR),TITLE_NUMBER_PR_CHANGE)</f>
        <v>27-6414</v>
      </c>
      <c r="W35" s="5462"/>
      <c r="X35" s="5462"/>
      <c r="Y35" s="5462"/>
      <c r="Z35" s="5462"/>
      <c r="AA35" s="5462"/>
      <c r="AB35" s="5462"/>
      <c r="AC35" s="264"/>
      <c r="AD35" s="5462" t="str">
        <f>IF(TITLE_NUMBER_PR_CHANGE="",IF(TITLE_NUMBER_PR="","",TITLE_NUMBER_PR),TITLE_NUMBER_PR_CHANGE)</f>
        <v>27-6414</v>
      </c>
      <c r="AE35" s="5462"/>
      <c r="AF35" s="5462"/>
      <c r="AG35" s="5462"/>
      <c r="AH35" s="5462"/>
      <c r="AI35" s="5462"/>
      <c r="AJ35" s="5462"/>
      <c r="AK35" s="264"/>
      <c r="AL35" s="264"/>
      <c r="AM35" s="218"/>
      <c r="AN35" s="306"/>
      <c r="AO35" s="306"/>
      <c r="AP35" s="306"/>
      <c r="AQ35" s="306"/>
      <c r="AR35" s="306"/>
      <c r="AS35" s="356">
        <v>0</v>
      </c>
    </row>
    <row r="36" spans="1:45" s="4284" customFormat="1" ht="0" hidden="1" customHeight="1">
      <c r="A36" s="1289"/>
      <c r="B36" s="1289"/>
      <c r="C36" s="1289"/>
      <c r="D36" s="1289"/>
      <c r="E36" s="1289"/>
      <c r="F36" s="1289"/>
      <c r="G36" s="1289"/>
      <c r="H36" s="1289"/>
      <c r="I36" s="1289"/>
      <c r="J36" s="1289"/>
      <c r="K36" s="1289"/>
      <c r="L36" s="1290"/>
      <c r="M36" s="1289"/>
      <c r="N36" s="1289"/>
      <c r="O36" s="1289"/>
      <c r="S36" s="261"/>
      <c r="T36" s="261"/>
      <c r="U36" s="1261"/>
      <c r="V36" s="264"/>
      <c r="W36" s="264"/>
      <c r="X36" s="264"/>
      <c r="Y36" s="264"/>
      <c r="Z36" s="264"/>
      <c r="AA36" s="264"/>
      <c r="AB36" s="264"/>
      <c r="AC36" s="216" t="s">
        <v>518</v>
      </c>
      <c r="AD36" s="264"/>
      <c r="AE36" s="264"/>
      <c r="AF36" s="264"/>
      <c r="AG36" s="264"/>
      <c r="AH36" s="264"/>
      <c r="AI36" s="264"/>
      <c r="AJ36" s="264"/>
      <c r="AK36" s="216" t="s">
        <v>518</v>
      </c>
      <c r="AN36" s="306"/>
      <c r="AO36" s="306"/>
      <c r="AP36" s="306"/>
      <c r="AQ36" s="306"/>
      <c r="AR36" s="306"/>
      <c r="AS36" s="356">
        <v>0</v>
      </c>
    </row>
    <row r="37" spans="1:45" ht="14.65" customHeight="1">
      <c r="Q37" s="314"/>
      <c r="R37" s="314"/>
      <c r="S37" s="1196"/>
      <c r="T37" s="301"/>
      <c r="U37" s="1165"/>
      <c r="V37" s="5481"/>
      <c r="W37" s="5481"/>
      <c r="X37" s="5481"/>
      <c r="Y37" s="5481"/>
      <c r="Z37" s="5481"/>
      <c r="AA37" s="5481"/>
      <c r="AB37" s="5481"/>
      <c r="AC37" s="5481"/>
      <c r="AD37" s="5481"/>
      <c r="AE37" s="5481"/>
      <c r="AF37" s="5481"/>
      <c r="AG37" s="5481"/>
      <c r="AH37" s="5481"/>
      <c r="AI37" s="5481"/>
      <c r="AJ37" s="5481"/>
      <c r="AK37" s="5481"/>
      <c r="AS37" s="1076">
        <v>14</v>
      </c>
    </row>
    <row r="38" spans="1:45" ht="14.65" customHeight="1">
      <c r="Q38" s="314"/>
      <c r="R38" s="314"/>
      <c r="S38" s="5328" t="s">
        <v>393</v>
      </c>
      <c r="T38" s="5328"/>
      <c r="U38" s="5328"/>
      <c r="V38" s="5328"/>
      <c r="W38" s="5328"/>
      <c r="X38" s="5328"/>
      <c r="Y38" s="5328"/>
      <c r="Z38" s="5328"/>
      <c r="AA38" s="5328"/>
      <c r="AB38" s="5328"/>
      <c r="AC38" s="5328"/>
      <c r="AD38" s="5328"/>
      <c r="AE38" s="5328"/>
      <c r="AF38" s="5328"/>
      <c r="AG38" s="5328"/>
      <c r="AH38" s="5328"/>
      <c r="AI38" s="5328"/>
      <c r="AJ38" s="5328"/>
      <c r="AK38" s="5328"/>
      <c r="AL38" s="5328"/>
      <c r="AM38" s="5328" t="s">
        <v>394</v>
      </c>
      <c r="AS38" s="1076">
        <v>14</v>
      </c>
    </row>
    <row r="39" spans="1:45" ht="14.65" customHeight="1">
      <c r="Q39" s="314"/>
      <c r="R39" s="314"/>
      <c r="S39" s="5482" t="s">
        <v>88</v>
      </c>
      <c r="T39" s="5431" t="s">
        <v>519</v>
      </c>
      <c r="U39" s="239"/>
      <c r="V39" s="5483" t="s">
        <v>520</v>
      </c>
      <c r="W39" s="5484"/>
      <c r="X39" s="5484"/>
      <c r="Y39" s="5484"/>
      <c r="Z39" s="5484"/>
      <c r="AA39" s="5484"/>
      <c r="AB39" s="5485"/>
      <c r="AC39" s="5486" t="s">
        <v>521</v>
      </c>
      <c r="AD39" s="5483" t="s">
        <v>520</v>
      </c>
      <c r="AE39" s="5484"/>
      <c r="AF39" s="5484"/>
      <c r="AG39" s="5484"/>
      <c r="AH39" s="5484"/>
      <c r="AI39" s="5484"/>
      <c r="AJ39" s="5485"/>
      <c r="AK39" s="5486" t="s">
        <v>522</v>
      </c>
      <c r="AL39" s="5489" t="s">
        <v>523</v>
      </c>
      <c r="AM39" s="5328"/>
      <c r="AS39" s="1076">
        <v>14</v>
      </c>
    </row>
    <row r="40" spans="1:45" ht="35.65" customHeight="1">
      <c r="Q40" s="314"/>
      <c r="R40" s="314"/>
      <c r="S40" s="5482"/>
      <c r="T40" s="5431"/>
      <c r="U40" s="956"/>
      <c r="V40" s="5403" t="s">
        <v>524</v>
      </c>
      <c r="W40" s="5478" t="s">
        <v>525</v>
      </c>
      <c r="X40" s="5309" t="s">
        <v>526</v>
      </c>
      <c r="Y40" s="5308"/>
      <c r="Z40" s="5309" t="s">
        <v>539</v>
      </c>
      <c r="AA40" s="5314"/>
      <c r="AB40" s="5308"/>
      <c r="AC40" s="5487"/>
      <c r="AD40" s="5403" t="s">
        <v>524</v>
      </c>
      <c r="AE40" s="5478" t="s">
        <v>525</v>
      </c>
      <c r="AF40" s="5309" t="s">
        <v>526</v>
      </c>
      <c r="AG40" s="5308"/>
      <c r="AH40" s="5309" t="s">
        <v>527</v>
      </c>
      <c r="AI40" s="5314"/>
      <c r="AJ40" s="5308"/>
      <c r="AK40" s="5487"/>
      <c r="AL40" s="5490"/>
      <c r="AM40" s="5328"/>
      <c r="AS40" s="1076">
        <v>34</v>
      </c>
    </row>
    <row r="41" spans="1:45" ht="35.65" customHeight="1">
      <c r="A41" s="1291"/>
      <c r="B41" s="1291" t="s">
        <v>167</v>
      </c>
      <c r="C41" s="1291" t="s">
        <v>168</v>
      </c>
      <c r="D41" s="1291" t="s">
        <v>169</v>
      </c>
      <c r="E41" s="1285" t="s">
        <v>528</v>
      </c>
      <c r="F41" s="1285" t="s">
        <v>529</v>
      </c>
      <c r="G41" s="1285" t="s">
        <v>530</v>
      </c>
      <c r="H41" s="1285" t="s">
        <v>531</v>
      </c>
      <c r="I41" s="1285" t="s">
        <v>532</v>
      </c>
      <c r="J41" s="1285" t="s">
        <v>533</v>
      </c>
      <c r="K41" s="1285" t="s">
        <v>534</v>
      </c>
      <c r="L41" s="1285" t="s">
        <v>509</v>
      </c>
      <c r="Q41" s="314"/>
      <c r="R41" s="314"/>
      <c r="S41" s="5482"/>
      <c r="T41" s="5431"/>
      <c r="U41" s="240"/>
      <c r="V41" s="5455"/>
      <c r="W41" s="5479"/>
      <c r="X41" s="1143" t="s">
        <v>535</v>
      </c>
      <c r="Y41" s="1143" t="s">
        <v>536</v>
      </c>
      <c r="Z41" s="1259" t="s">
        <v>537</v>
      </c>
      <c r="AA41" s="5436" t="s">
        <v>538</v>
      </c>
      <c r="AB41" s="5449"/>
      <c r="AC41" s="5488"/>
      <c r="AD41" s="5455"/>
      <c r="AE41" s="5479"/>
      <c r="AF41" s="1143" t="s">
        <v>535</v>
      </c>
      <c r="AG41" s="1143" t="s">
        <v>536</v>
      </c>
      <c r="AH41" s="1259" t="s">
        <v>537</v>
      </c>
      <c r="AI41" s="5436" t="s">
        <v>538</v>
      </c>
      <c r="AJ41" s="5449"/>
      <c r="AK41" s="5488"/>
      <c r="AL41" s="5491"/>
      <c r="AM41" s="5328"/>
      <c r="AS41" s="1076">
        <v>34</v>
      </c>
    </row>
    <row r="42" spans="1:45" s="4299" customFormat="1" ht="11.25" hidden="1" customHeight="1">
      <c r="A42" s="1291"/>
      <c r="B42" s="1291"/>
      <c r="C42" s="1291"/>
      <c r="D42" s="1291"/>
      <c r="E42" s="1291"/>
      <c r="F42" s="1291"/>
      <c r="G42" s="1291"/>
      <c r="H42" s="1291"/>
      <c r="I42" s="1291"/>
      <c r="J42" s="1291"/>
      <c r="K42" s="1291"/>
      <c r="L42" s="1285"/>
      <c r="M42" s="1283"/>
      <c r="N42" s="1283"/>
      <c r="O42" s="1283"/>
      <c r="P42" s="1167"/>
      <c r="Q42" s="1168"/>
      <c r="R42" s="1175">
        <v>1</v>
      </c>
      <c r="S42" s="1198" t="s">
        <v>136</v>
      </c>
      <c r="T42" s="1176" t="s">
        <v>103</v>
      </c>
      <c r="U42" s="1166" t="str">
        <f ca="1">OFFSET(U42,0,-1)</f>
        <v>2</v>
      </c>
      <c r="V42" s="1256">
        <f ca="1">OFFSET(V42,0,-1)+1</f>
        <v>3</v>
      </c>
      <c r="W42" s="1256"/>
      <c r="X42" s="1256">
        <f ca="1">OFFSET(X42,0,-1)+1</f>
        <v>1</v>
      </c>
      <c r="Y42" s="1256">
        <f ca="1">OFFSET(Y42,0,-1)+1</f>
        <v>2</v>
      </c>
      <c r="Z42" s="1256">
        <f ca="1">OFFSET(Z42,0,-1)+1</f>
        <v>3</v>
      </c>
      <c r="AA42" s="5480">
        <f ca="1">OFFSET(AA42,0,-1)+1</f>
        <v>4</v>
      </c>
      <c r="AB42" s="5480"/>
      <c r="AC42" s="1256">
        <f ca="1">OFFSET(AC42,0,-2)+1</f>
        <v>5</v>
      </c>
      <c r="AD42" s="1256">
        <f ca="1">OFFSET(AD42,0,-1)+1</f>
        <v>6</v>
      </c>
      <c r="AE42" s="1256"/>
      <c r="AF42" s="1256">
        <f ca="1">OFFSET(AF42,0,-1)+1</f>
        <v>1</v>
      </c>
      <c r="AG42" s="1256">
        <f ca="1">OFFSET(AG42,0,-1)+1</f>
        <v>2</v>
      </c>
      <c r="AH42" s="1256">
        <f ca="1">OFFSET(AH42,0,-1)+1</f>
        <v>3</v>
      </c>
      <c r="AI42" s="5480">
        <f ca="1">OFFSET(AI42,0,-1)+1</f>
        <v>4</v>
      </c>
      <c r="AJ42" s="5480"/>
      <c r="AK42" s="1256">
        <f ca="1">OFFSET(AK42,0,-2)+1</f>
        <v>5</v>
      </c>
      <c r="AL42" s="1166">
        <f ca="1">OFFSET(AL42,0,-1)</f>
        <v>5</v>
      </c>
      <c r="AM42" s="1256">
        <f ca="1">OFFSET(AM42,0,-1)+1</f>
        <v>6</v>
      </c>
      <c r="AN42" s="449"/>
      <c r="AO42" s="449"/>
      <c r="AP42" s="449"/>
      <c r="AQ42" s="449"/>
      <c r="AR42" s="449"/>
      <c r="AS42" s="434">
        <v>0</v>
      </c>
    </row>
    <row r="43" spans="1:45" ht="21.95" customHeight="1">
      <c r="A43" s="1284" t="s">
        <v>192</v>
      </c>
      <c r="B43" s="1284"/>
      <c r="C43" s="1284"/>
      <c r="D43" s="1284"/>
      <c r="E43" s="5469">
        <v>1</v>
      </c>
      <c r="F43" s="1284"/>
      <c r="G43" s="1284"/>
      <c r="H43" s="1284"/>
      <c r="I43" s="1284"/>
      <c r="J43" s="1284"/>
      <c r="K43" s="1284"/>
      <c r="L43" s="1285"/>
      <c r="M43" s="1286"/>
      <c r="N43" s="1286"/>
      <c r="O43" s="1286"/>
      <c r="P43" s="299"/>
      <c r="Q43" s="298"/>
      <c r="R43" s="293"/>
      <c r="S43" s="1257">
        <f>INDEX(PT_DIFFERENTIATION_NUM_NTAR,MATCH(A43,PT_DIFFERENTIATION_NTAR_ID,0))</f>
        <v>0</v>
      </c>
      <c r="T43" s="236" t="s">
        <v>155</v>
      </c>
      <c r="U43" s="238"/>
      <c r="V43" s="5463"/>
      <c r="W43" s="5464"/>
      <c r="X43" s="5464"/>
      <c r="Y43" s="5464"/>
      <c r="Z43" s="5464"/>
      <c r="AA43" s="5464"/>
      <c r="AB43" s="5464"/>
      <c r="AC43" s="5465"/>
      <c r="AD43" s="5463" t="str">
        <f>INDEX(PT_DIFFERENTIATION_NTAR,MATCH(A43,PT_DIFFERENTIATION_NTAR_ID,0))</f>
        <v/>
      </c>
      <c r="AE43" s="5464"/>
      <c r="AF43" s="5464"/>
      <c r="AG43" s="5464"/>
      <c r="AH43" s="5464"/>
      <c r="AI43" s="5464"/>
      <c r="AJ43" s="5464"/>
      <c r="AK43" s="5464"/>
      <c r="AL43" s="5465"/>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76">
        <v>21</v>
      </c>
    </row>
    <row r="44" spans="1:45" ht="21.95" customHeight="1">
      <c r="A44" s="1284" t="s">
        <v>192</v>
      </c>
      <c r="B44" s="1284" t="s">
        <v>193</v>
      </c>
      <c r="C44" s="1284"/>
      <c r="D44" s="1284"/>
      <c r="E44" s="5470"/>
      <c r="F44" s="5469">
        <v>1</v>
      </c>
      <c r="G44" s="1284"/>
      <c r="H44" s="1284"/>
      <c r="I44" s="1284"/>
      <c r="J44" s="1284"/>
      <c r="K44" s="1284"/>
      <c r="L44" s="1285"/>
      <c r="M44" s="1286"/>
      <c r="N44" s="1286"/>
      <c r="O44" s="1286"/>
      <c r="P44" s="1253"/>
      <c r="Q44" s="290"/>
      <c r="R44" s="291"/>
      <c r="S44" s="1257" t="str">
        <f>INDEX(PT_DIFFERENTIATION_NUM_TER,MATCH(B44,PT_DIFFERENTIATION_TER_ID,0))</f>
        <v>.</v>
      </c>
      <c r="T44" s="246" t="s">
        <v>490</v>
      </c>
      <c r="U44" s="238"/>
      <c r="V44" s="5463"/>
      <c r="W44" s="5464"/>
      <c r="X44" s="5464"/>
      <c r="Y44" s="5464"/>
      <c r="Z44" s="5464"/>
      <c r="AA44" s="5464"/>
      <c r="AB44" s="5464"/>
      <c r="AC44" s="5465"/>
      <c r="AD44" s="5463" t="str">
        <f>INDEX(PT_DIFFERENTIATION_TER,MATCH(B44,PT_DIFFERENTIATION_TER_ID,0))</f>
        <v/>
      </c>
      <c r="AE44" s="5464"/>
      <c r="AF44" s="5464"/>
      <c r="AG44" s="5464"/>
      <c r="AH44" s="5464"/>
      <c r="AI44" s="5464"/>
      <c r="AJ44" s="5464"/>
      <c r="AK44" s="5464"/>
      <c r="AL44" s="5465"/>
      <c r="AM44" s="1179" t="s">
        <v>491</v>
      </c>
      <c r="AO44" s="438"/>
      <c r="AP44" s="438" t="str">
        <f t="shared" si="1"/>
        <v>Территория действия тарифа</v>
      </c>
      <c r="AQ44" s="438"/>
      <c r="AR44" s="438"/>
      <c r="AS44" s="1076">
        <v>21</v>
      </c>
    </row>
    <row r="45" spans="1:45" ht="24" customHeight="1">
      <c r="A45" s="1284" t="s">
        <v>192</v>
      </c>
      <c r="B45" s="1284" t="s">
        <v>193</v>
      </c>
      <c r="C45" s="1284" t="s">
        <v>194</v>
      </c>
      <c r="D45" s="1284"/>
      <c r="E45" s="5470"/>
      <c r="F45" s="5470"/>
      <c r="G45" s="5469">
        <v>1</v>
      </c>
      <c r="H45" s="1284"/>
      <c r="I45" s="1284"/>
      <c r="J45" s="1284"/>
      <c r="K45" s="1284"/>
      <c r="L45" s="1285"/>
      <c r="M45" s="1286"/>
      <c r="N45" s="1286"/>
      <c r="O45" s="1286"/>
      <c r="P45" s="292"/>
      <c r="Q45" s="290"/>
      <c r="R45" s="291"/>
      <c r="S45" s="1257" t="str">
        <f>INDEX(PT_DIFFERENTIATION_NUM_CS,MATCH(C45,PT_DIFFERENTIATION_CS_ID,0))</f>
        <v>..</v>
      </c>
      <c r="T45" s="247" t="s">
        <v>492</v>
      </c>
      <c r="U45" s="238"/>
      <c r="V45" s="5463"/>
      <c r="W45" s="5464"/>
      <c r="X45" s="5464"/>
      <c r="Y45" s="5464"/>
      <c r="Z45" s="5464"/>
      <c r="AA45" s="5464"/>
      <c r="AB45" s="5464"/>
      <c r="AC45" s="5465"/>
      <c r="AD45" s="5463" t="str">
        <f>INDEX(PT_DIFFERENTIATION_CS,MATCH(C45,PT_DIFFERENTIATION_CS_ID,0))</f>
        <v/>
      </c>
      <c r="AE45" s="5464"/>
      <c r="AF45" s="5464"/>
      <c r="AG45" s="5464"/>
      <c r="AH45" s="5464"/>
      <c r="AI45" s="5464"/>
      <c r="AJ45" s="5464"/>
      <c r="AK45" s="5464"/>
      <c r="AL45" s="5465"/>
      <c r="AM45" s="1179" t="s">
        <v>493</v>
      </c>
      <c r="AO45" s="438"/>
      <c r="AP45" s="438" t="str">
        <f t="shared" si="1"/>
        <v xml:space="preserve">Наименование системы теплоснабжения </v>
      </c>
      <c r="AQ45" s="438"/>
      <c r="AR45" s="438"/>
      <c r="AS45" s="1076">
        <v>23</v>
      </c>
    </row>
    <row r="46" spans="1:45" ht="21.95" customHeight="1">
      <c r="A46" s="1284" t="s">
        <v>192</v>
      </c>
      <c r="B46" s="1284" t="s">
        <v>193</v>
      </c>
      <c r="C46" s="1284" t="s">
        <v>194</v>
      </c>
      <c r="D46" s="1284" t="s">
        <v>195</v>
      </c>
      <c r="E46" s="5470"/>
      <c r="F46" s="5470"/>
      <c r="G46" s="5470"/>
      <c r="H46" s="5469">
        <v>1</v>
      </c>
      <c r="I46" s="1284"/>
      <c r="J46" s="1284"/>
      <c r="K46" s="1284"/>
      <c r="L46" s="1285"/>
      <c r="M46" s="1286"/>
      <c r="N46" s="1286"/>
      <c r="O46" s="1286"/>
      <c r="P46" s="292"/>
      <c r="Q46" s="290"/>
      <c r="R46" s="291"/>
      <c r="S46" s="1257" t="str">
        <f>INDEX(PT_DIFFERENTIATION_NUM_IST_TE,MATCH(D46,PT_DIFFERENTIATION_IST_TE_ID,0))</f>
        <v>...</v>
      </c>
      <c r="T46" s="248" t="s">
        <v>494</v>
      </c>
      <c r="U46" s="238"/>
      <c r="V46" s="5463"/>
      <c r="W46" s="5464"/>
      <c r="X46" s="5464"/>
      <c r="Y46" s="5464"/>
      <c r="Z46" s="5464"/>
      <c r="AA46" s="5464"/>
      <c r="AB46" s="5464"/>
      <c r="AC46" s="5465"/>
      <c r="AD46" s="5463" t="str">
        <f>INDEX(PT_DIFFERENTIATION_IST_TE,MATCH(D46,PT_DIFFERENTIATION_IST_TE_ID,0))</f>
        <v/>
      </c>
      <c r="AE46" s="5464"/>
      <c r="AF46" s="5464"/>
      <c r="AG46" s="5464"/>
      <c r="AH46" s="5464"/>
      <c r="AI46" s="5464"/>
      <c r="AJ46" s="5464"/>
      <c r="AK46" s="5464"/>
      <c r="AL46" s="5465"/>
      <c r="AM46" s="1179" t="s">
        <v>495</v>
      </c>
      <c r="AO46" s="438"/>
      <c r="AP46" s="438" t="str">
        <f t="shared" si="1"/>
        <v xml:space="preserve">Источник тепловой энергии  </v>
      </c>
      <c r="AQ46" s="438"/>
      <c r="AR46" s="438"/>
      <c r="AS46" s="1076">
        <v>21</v>
      </c>
    </row>
    <row r="47" spans="1:45" ht="49.5" customHeight="1">
      <c r="A47" s="1284" t="s">
        <v>192</v>
      </c>
      <c r="B47" s="1284" t="s">
        <v>193</v>
      </c>
      <c r="C47" s="1284" t="s">
        <v>194</v>
      </c>
      <c r="D47" s="1284" t="s">
        <v>195</v>
      </c>
      <c r="E47" s="5470"/>
      <c r="F47" s="5470"/>
      <c r="G47" s="5470"/>
      <c r="H47" s="5470"/>
      <c r="I47" s="5471" t="str">
        <f>S46&amp;".1"</f>
        <v>....1</v>
      </c>
      <c r="J47" s="1284"/>
      <c r="K47" s="1284"/>
      <c r="L47" s="1285" t="s">
        <v>496</v>
      </c>
      <c r="P47" s="5473">
        <v>1</v>
      </c>
      <c r="Q47" s="1252"/>
      <c r="R47" s="294"/>
      <c r="S47" s="1257" t="str">
        <f>$I47</f>
        <v>....1</v>
      </c>
      <c r="T47" s="223" t="s">
        <v>497</v>
      </c>
      <c r="U47" s="238"/>
      <c r="V47" s="5457"/>
      <c r="W47" s="5458"/>
      <c r="X47" s="5458"/>
      <c r="Y47" s="5458"/>
      <c r="Z47" s="5458"/>
      <c r="AA47" s="5458"/>
      <c r="AB47" s="5458"/>
      <c r="AC47" s="5459"/>
      <c r="AD47" s="5457"/>
      <c r="AE47" s="5458"/>
      <c r="AF47" s="5458"/>
      <c r="AG47" s="5458"/>
      <c r="AH47" s="5458"/>
      <c r="AI47" s="5458"/>
      <c r="AJ47" s="5458"/>
      <c r="AK47" s="5458"/>
      <c r="AL47" s="5459"/>
      <c r="AM47" s="1179" t="s">
        <v>498</v>
      </c>
      <c r="AO47" s="438"/>
      <c r="AP47" s="438" t="str">
        <f t="shared" si="1"/>
        <v>Схема подключения теплопотребляющей установки к коллектору источника тепловой энергии</v>
      </c>
      <c r="AQ47" s="438"/>
      <c r="AR47" s="438"/>
      <c r="AS47" s="1076">
        <v>47</v>
      </c>
    </row>
    <row r="48" spans="1:45" ht="21.95" customHeight="1">
      <c r="A48" s="1284" t="s">
        <v>192</v>
      </c>
      <c r="B48" s="1284" t="s">
        <v>193</v>
      </c>
      <c r="C48" s="1284" t="s">
        <v>194</v>
      </c>
      <c r="D48" s="1284" t="s">
        <v>195</v>
      </c>
      <c r="E48" s="5470"/>
      <c r="F48" s="5470"/>
      <c r="G48" s="5470"/>
      <c r="H48" s="5470"/>
      <c r="I48" s="5472"/>
      <c r="J48" s="5471" t="str">
        <f>I47&amp;".1"</f>
        <v>....1.1</v>
      </c>
      <c r="K48" s="1284"/>
      <c r="L48" s="1285" t="s">
        <v>499</v>
      </c>
      <c r="P48" s="5473"/>
      <c r="Q48" s="5473">
        <v>1</v>
      </c>
      <c r="R48" s="295"/>
      <c r="S48" s="1257" t="str">
        <f>$J48</f>
        <v>....1.1</v>
      </c>
      <c r="T48" s="224" t="s">
        <v>500</v>
      </c>
      <c r="U48" s="238"/>
      <c r="V48" s="5457"/>
      <c r="W48" s="5458"/>
      <c r="X48" s="5458"/>
      <c r="Y48" s="5458"/>
      <c r="Z48" s="5458"/>
      <c r="AA48" s="5458"/>
      <c r="AB48" s="5458"/>
      <c r="AC48" s="5459"/>
      <c r="AD48" s="5457"/>
      <c r="AE48" s="5458"/>
      <c r="AF48" s="5458"/>
      <c r="AG48" s="5458"/>
      <c r="AH48" s="5458"/>
      <c r="AI48" s="5458"/>
      <c r="AJ48" s="5458"/>
      <c r="AK48" s="5458"/>
      <c r="AL48" s="5459"/>
      <c r="AM48" s="1179" t="s">
        <v>501</v>
      </c>
      <c r="AO48" s="438"/>
      <c r="AP48" s="438" t="str">
        <f t="shared" si="1"/>
        <v>Группа потребителей</v>
      </c>
      <c r="AQ48" s="438"/>
      <c r="AR48" s="438"/>
      <c r="AS48" s="1076">
        <v>21</v>
      </c>
    </row>
    <row r="49" spans="1:45" ht="21.95" customHeight="1">
      <c r="A49" s="1284" t="s">
        <v>192</v>
      </c>
      <c r="B49" s="1284" t="s">
        <v>193</v>
      </c>
      <c r="C49" s="1284" t="s">
        <v>194</v>
      </c>
      <c r="D49" s="1284" t="s">
        <v>195</v>
      </c>
      <c r="E49" s="5470"/>
      <c r="F49" s="5470"/>
      <c r="G49" s="5470"/>
      <c r="H49" s="5470"/>
      <c r="I49" s="5472"/>
      <c r="J49" s="5472"/>
      <c r="K49" s="5471" t="str">
        <f>J48&amp;".1"</f>
        <v>....1.1.1</v>
      </c>
      <c r="L49" s="1285" t="s">
        <v>502</v>
      </c>
      <c r="P49" s="5473"/>
      <c r="Q49" s="5473"/>
      <c r="R49" s="295">
        <v>1</v>
      </c>
      <c r="S49" s="1257" t="str">
        <f>$K49</f>
        <v>....1.1.1</v>
      </c>
      <c r="T49" s="1268"/>
      <c r="U49" s="238"/>
      <c r="V49" s="689"/>
      <c r="W49" s="263"/>
      <c r="X49" s="689"/>
      <c r="Y49" s="1178"/>
      <c r="Z49" s="5474"/>
      <c r="AA49" s="5338" t="s">
        <v>66</v>
      </c>
      <c r="AB49" s="5474"/>
      <c r="AC49" s="5338" t="s">
        <v>66</v>
      </c>
      <c r="AD49" s="689"/>
      <c r="AE49" s="263"/>
      <c r="AF49" s="689"/>
      <c r="AG49" s="1178"/>
      <c r="AH49" s="5474"/>
      <c r="AI49" s="5338" t="s">
        <v>66</v>
      </c>
      <c r="AJ49" s="5476"/>
      <c r="AK49" s="5338" t="s">
        <v>66</v>
      </c>
      <c r="AL49" s="1269"/>
      <c r="AM49" s="5492" t="s">
        <v>503</v>
      </c>
      <c r="AN49" s="449" t="e">
        <f ca="1">STRCHECKDATE(V50:AL50)</f>
        <v>#NAME?</v>
      </c>
      <c r="AO49" s="438"/>
      <c r="AP49" s="438" t="str">
        <f t="shared" si="1"/>
        <v/>
      </c>
      <c r="AQ49" s="438"/>
      <c r="AR49" s="438"/>
      <c r="AS49" s="1076">
        <v>21</v>
      </c>
    </row>
    <row r="50" spans="1:45" ht="1.1499999999999999" customHeight="1">
      <c r="A50" s="1284" t="s">
        <v>192</v>
      </c>
      <c r="B50" s="1284" t="s">
        <v>193</v>
      </c>
      <c r="C50" s="1284" t="s">
        <v>194</v>
      </c>
      <c r="D50" s="1284" t="s">
        <v>195</v>
      </c>
      <c r="E50" s="5470"/>
      <c r="F50" s="5470"/>
      <c r="G50" s="5470"/>
      <c r="H50" s="5470"/>
      <c r="I50" s="5472"/>
      <c r="J50" s="5472"/>
      <c r="K50" s="5471"/>
      <c r="L50" s="1285"/>
      <c r="P50" s="5473"/>
      <c r="Q50" s="5473"/>
      <c r="R50" s="295"/>
      <c r="S50" s="1263"/>
      <c r="T50" s="238"/>
      <c r="U50" s="238"/>
      <c r="V50" s="263"/>
      <c r="W50" s="263"/>
      <c r="X50" s="263"/>
      <c r="Y50" s="266" t="str">
        <f>Z49&amp;"-"&amp;AB49</f>
        <v>-</v>
      </c>
      <c r="Z50" s="5475"/>
      <c r="AA50" s="5338"/>
      <c r="AB50" s="5475"/>
      <c r="AC50" s="5338"/>
      <c r="AD50" s="263"/>
      <c r="AE50" s="263"/>
      <c r="AF50" s="263"/>
      <c r="AG50" s="266" t="str">
        <f>AH49&amp;"-"&amp;AJ49</f>
        <v>-</v>
      </c>
      <c r="AH50" s="5475"/>
      <c r="AI50" s="5338"/>
      <c r="AJ50" s="5477"/>
      <c r="AK50" s="5338"/>
      <c r="AL50" s="1270"/>
      <c r="AM50" s="5493"/>
      <c r="AO50" s="438"/>
      <c r="AP50" s="438" t="str">
        <f t="shared" si="1"/>
        <v/>
      </c>
      <c r="AQ50" s="438"/>
      <c r="AR50" s="438"/>
      <c r="AS50" s="1076">
        <v>1</v>
      </c>
    </row>
    <row r="51" spans="1:45" ht="11.45" customHeight="1">
      <c r="A51" s="1284" t="s">
        <v>192</v>
      </c>
      <c r="B51" s="1284" t="s">
        <v>193</v>
      </c>
      <c r="C51" s="1284" t="s">
        <v>194</v>
      </c>
      <c r="D51" s="1284" t="s">
        <v>195</v>
      </c>
      <c r="E51" s="5470"/>
      <c r="F51" s="5470"/>
      <c r="G51" s="5470"/>
      <c r="H51" s="5470"/>
      <c r="I51" s="5472"/>
      <c r="J51" s="5471"/>
      <c r="K51" s="1284"/>
      <c r="L51" s="1285"/>
      <c r="P51" s="5473"/>
      <c r="Q51" s="5473"/>
      <c r="R51" s="294"/>
      <c r="S51" s="1199"/>
      <c r="T51" s="226" t="s">
        <v>504</v>
      </c>
      <c r="U51" s="305"/>
      <c r="V51" s="305"/>
      <c r="W51" s="305"/>
      <c r="X51" s="305"/>
      <c r="Y51" s="305"/>
      <c r="Z51" s="305"/>
      <c r="AA51" s="305"/>
      <c r="AB51" s="305"/>
      <c r="AC51" s="305"/>
      <c r="AD51" s="305"/>
      <c r="AE51" s="305"/>
      <c r="AF51" s="305"/>
      <c r="AG51" s="305"/>
      <c r="AH51" s="305"/>
      <c r="AI51" s="305"/>
      <c r="AJ51" s="305"/>
      <c r="AK51" s="305"/>
      <c r="AL51" s="262"/>
      <c r="AM51" s="5494"/>
      <c r="AO51" s="438"/>
      <c r="AP51" s="438" t="str">
        <f t="shared" si="1"/>
        <v>Добавить вид теплоносителя (параметры теплоносителя)</v>
      </c>
      <c r="AQ51" s="438"/>
      <c r="AR51" s="438"/>
      <c r="AS51" s="1076">
        <v>11</v>
      </c>
    </row>
    <row r="52" spans="1:45" ht="11.45" customHeight="1">
      <c r="A52" s="1284" t="s">
        <v>192</v>
      </c>
      <c r="B52" s="1284" t="s">
        <v>193</v>
      </c>
      <c r="C52" s="1284" t="s">
        <v>194</v>
      </c>
      <c r="D52" s="1284" t="s">
        <v>195</v>
      </c>
      <c r="E52" s="5470"/>
      <c r="F52" s="5470"/>
      <c r="G52" s="5470"/>
      <c r="H52" s="5470"/>
      <c r="I52" s="5471"/>
      <c r="J52" s="1284"/>
      <c r="K52" s="1284"/>
      <c r="L52" s="1285"/>
      <c r="P52" s="5473"/>
      <c r="Q52" s="1252"/>
      <c r="R52" s="294"/>
      <c r="S52" s="1199"/>
      <c r="T52" s="225" t="s">
        <v>505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76">
        <v>11</v>
      </c>
    </row>
    <row r="53" spans="1:45" ht="14.65" customHeight="1">
      <c r="A53" s="1284" t="s">
        <v>192</v>
      </c>
      <c r="B53" s="1284" t="s">
        <v>193</v>
      </c>
      <c r="C53" s="1284" t="s">
        <v>194</v>
      </c>
      <c r="D53" s="1284" t="s">
        <v>195</v>
      </c>
      <c r="E53" s="5470"/>
      <c r="F53" s="5470"/>
      <c r="G53" s="5470"/>
      <c r="H53" s="5469"/>
      <c r="I53" s="1284"/>
      <c r="J53" s="1284"/>
      <c r="K53" s="1284"/>
      <c r="L53" s="1285"/>
      <c r="M53" s="1286"/>
      <c r="N53" s="1286"/>
      <c r="O53" s="475"/>
      <c r="P53" s="298"/>
      <c r="Q53" s="313"/>
      <c r="R53" s="293"/>
      <c r="S53" s="1199"/>
      <c r="T53" s="303" t="s">
        <v>506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76">
        <v>14</v>
      </c>
    </row>
    <row r="54" spans="1:45" s="4275" customFormat="1" ht="1.1499999999999999" customHeight="1">
      <c r="A54" s="1264" t="s">
        <v>192</v>
      </c>
      <c r="B54" s="1264" t="s">
        <v>193</v>
      </c>
      <c r="C54" s="1264" t="s">
        <v>194</v>
      </c>
      <c r="D54" s="1235"/>
      <c r="E54" s="5470"/>
      <c r="F54" s="5470"/>
      <c r="G54" s="5469"/>
      <c r="H54" s="1235"/>
      <c r="I54" s="1235"/>
      <c r="J54" s="1235"/>
      <c r="K54" s="1235"/>
      <c r="L54" s="1260"/>
      <c r="M54" s="1236"/>
      <c r="N54" s="1236"/>
      <c r="P54" s="1237"/>
      <c r="Q54" s="1238"/>
      <c r="R54" s="1237"/>
      <c r="S54" s="1243"/>
      <c r="T54" s="1246" t="s">
        <v>507</v>
      </c>
      <c r="U54" s="1245"/>
      <c r="V54" s="1245"/>
      <c r="W54" s="1245"/>
      <c r="X54" s="1245"/>
      <c r="Y54" s="1245"/>
      <c r="Z54" s="1245"/>
      <c r="AA54" s="1245"/>
      <c r="AB54" s="1245"/>
      <c r="AC54" s="1245"/>
      <c r="AD54" s="1245"/>
      <c r="AE54" s="1245"/>
      <c r="AF54" s="1245"/>
      <c r="AG54" s="1245"/>
      <c r="AH54" s="1245"/>
      <c r="AI54" s="1245"/>
      <c r="AJ54" s="1245"/>
      <c r="AK54" s="1245"/>
      <c r="AL54" s="1245"/>
      <c r="AM54" s="1245"/>
      <c r="AO54" s="721"/>
      <c r="AP54" s="721" t="str">
        <f t="shared" si="1"/>
        <v>Добавить источник для дифференциации</v>
      </c>
      <c r="AQ54" s="721"/>
      <c r="AR54" s="721"/>
      <c r="AS54" s="456">
        <v>1</v>
      </c>
    </row>
    <row r="55" spans="1:45" s="4275" customFormat="1" ht="1.1499999999999999" customHeight="1">
      <c r="A55" s="1264" t="s">
        <v>192</v>
      </c>
      <c r="B55" s="1264" t="s">
        <v>193</v>
      </c>
      <c r="C55" s="1235"/>
      <c r="D55" s="1235"/>
      <c r="E55" s="5470"/>
      <c r="F55" s="5469"/>
      <c r="G55" s="1235"/>
      <c r="H55" s="1235"/>
      <c r="I55" s="1235"/>
      <c r="J55" s="1235"/>
      <c r="K55" s="1235"/>
      <c r="L55" s="1260"/>
      <c r="M55" s="1242"/>
      <c r="N55" s="1242"/>
      <c r="P55" s="1237"/>
      <c r="Q55" s="1238"/>
      <c r="R55" s="1237"/>
      <c r="S55" s="1243"/>
      <c r="T55" s="1246" t="s">
        <v>312</v>
      </c>
      <c r="U55" s="1245"/>
      <c r="V55" s="1245"/>
      <c r="W55" s="1245"/>
      <c r="X55" s="1245"/>
      <c r="Y55" s="1245"/>
      <c r="Z55" s="1245"/>
      <c r="AA55" s="1245"/>
      <c r="AB55" s="1245"/>
      <c r="AC55" s="1245"/>
      <c r="AD55" s="1245"/>
      <c r="AE55" s="1245"/>
      <c r="AF55" s="1245"/>
      <c r="AG55" s="1245"/>
      <c r="AH55" s="1245"/>
      <c r="AI55" s="1245"/>
      <c r="AJ55" s="1245"/>
      <c r="AK55" s="1245"/>
      <c r="AL55" s="1245"/>
      <c r="AM55" s="1245"/>
      <c r="AO55" s="721"/>
      <c r="AP55" s="721" t="str">
        <f t="shared" si="1"/>
        <v>Добавить централизованную систему для дифференциации</v>
      </c>
      <c r="AQ55" s="721"/>
      <c r="AR55" s="721"/>
      <c r="AS55" s="456">
        <v>1</v>
      </c>
    </row>
    <row r="56" spans="1:45" s="4275" customFormat="1" ht="1.1499999999999999" customHeight="1">
      <c r="A56" s="1264" t="s">
        <v>192</v>
      </c>
      <c r="B56" s="1264"/>
      <c r="C56" s="1264"/>
      <c r="D56" s="1264"/>
      <c r="E56" s="5469"/>
      <c r="F56" s="1264"/>
      <c r="G56" s="1264"/>
      <c r="H56" s="1264"/>
      <c r="I56" s="1264"/>
      <c r="J56" s="1264"/>
      <c r="K56" s="1264"/>
      <c r="L56" s="1267"/>
      <c r="M56" s="1242"/>
      <c r="N56" s="1242"/>
      <c r="O56" s="456"/>
      <c r="P56" s="318"/>
      <c r="Q56" s="1265"/>
      <c r="R56" s="318"/>
      <c r="S56" s="1243"/>
      <c r="T56" s="1246" t="s">
        <v>360</v>
      </c>
      <c r="U56" s="1245"/>
      <c r="V56" s="1245"/>
      <c r="W56" s="1245"/>
      <c r="X56" s="1245"/>
      <c r="Y56" s="1245"/>
      <c r="Z56" s="1245"/>
      <c r="AA56" s="1245"/>
      <c r="AB56" s="1245"/>
      <c r="AC56" s="1245"/>
      <c r="AD56" s="1245"/>
      <c r="AE56" s="1245"/>
      <c r="AF56" s="1245"/>
      <c r="AG56" s="1245"/>
      <c r="AH56" s="1245"/>
      <c r="AI56" s="1245"/>
      <c r="AJ56" s="1245"/>
      <c r="AK56" s="1245"/>
      <c r="AL56" s="1245"/>
      <c r="AM56" s="1245"/>
      <c r="AO56" s="438"/>
      <c r="AP56" s="438" t="str">
        <f t="shared" si="1"/>
        <v>Добавить территорию для дифференциации</v>
      </c>
      <c r="AQ56" s="438"/>
      <c r="AR56" s="438"/>
      <c r="AS56" s="449">
        <v>1</v>
      </c>
    </row>
    <row r="57" spans="1:45" s="4275" customFormat="1" ht="1.1499999999999999" customHeight="1">
      <c r="A57" s="1235"/>
      <c r="B57" s="1235"/>
      <c r="C57" s="1235"/>
      <c r="D57" s="1235"/>
      <c r="E57" s="1264"/>
      <c r="F57" s="1235"/>
      <c r="G57" s="1235"/>
      <c r="H57" s="1235"/>
      <c r="I57" s="1235"/>
      <c r="J57" s="1235"/>
      <c r="K57" s="1235"/>
      <c r="L57" s="1260"/>
      <c r="M57" s="1242"/>
      <c r="N57" s="1242"/>
      <c r="P57" s="1237"/>
      <c r="Q57" s="1238"/>
      <c r="R57" s="1237"/>
      <c r="S57" s="1243"/>
      <c r="T57" s="1246" t="s">
        <v>361</v>
      </c>
      <c r="U57" s="1245"/>
      <c r="V57" s="1245"/>
      <c r="W57" s="1245"/>
      <c r="X57" s="1245"/>
      <c r="Y57" s="1245"/>
      <c r="Z57" s="1245"/>
      <c r="AA57" s="1245"/>
      <c r="AB57" s="1245"/>
      <c r="AC57" s="1245"/>
      <c r="AD57" s="1245"/>
      <c r="AE57" s="1245"/>
      <c r="AF57" s="1245"/>
      <c r="AG57" s="1245"/>
      <c r="AH57" s="1245"/>
      <c r="AI57" s="1245"/>
      <c r="AJ57" s="1245"/>
      <c r="AK57" s="1245"/>
      <c r="AL57" s="1245"/>
      <c r="AM57" s="1245"/>
      <c r="AO57" s="721"/>
      <c r="AP57" s="721" t="str">
        <f t="shared" si="1"/>
        <v>Добавить наименование тарифа</v>
      </c>
      <c r="AQ57" s="721"/>
      <c r="AR57" s="721"/>
      <c r="AS57" s="456">
        <v>1</v>
      </c>
    </row>
    <row r="58" spans="1:45" ht="11.45" customHeight="1">
      <c r="M58" s="1081"/>
      <c r="N58" s="1081"/>
      <c r="O58" s="475"/>
      <c r="P58" s="1076"/>
      <c r="Q58" s="1076"/>
      <c r="R58" s="1076"/>
      <c r="S58" s="1076"/>
      <c r="AN58" s="1076"/>
      <c r="AO58" s="1076"/>
      <c r="AP58" s="1076"/>
      <c r="AQ58" s="1076"/>
      <c r="AR58" s="1076"/>
      <c r="AS58" s="1076">
        <v>11</v>
      </c>
    </row>
    <row r="59" spans="1:45" ht="28.5" customHeight="1">
      <c r="O59" s="475"/>
      <c r="S59" s="1174"/>
      <c r="T59" s="5468"/>
      <c r="U59" s="5468"/>
      <c r="V59" s="5468"/>
      <c r="W59" s="5468"/>
      <c r="X59" s="5468"/>
      <c r="Y59" s="5468"/>
      <c r="Z59" s="5468"/>
      <c r="AA59" s="5468"/>
      <c r="AB59" s="5468"/>
      <c r="AC59" s="5468"/>
      <c r="AD59" s="5468"/>
      <c r="AE59" s="5468"/>
      <c r="AF59" s="5468"/>
      <c r="AG59" s="5468"/>
      <c r="AH59" s="5468"/>
      <c r="AI59" s="5468"/>
      <c r="AJ59" s="5468"/>
      <c r="AK59" s="5468"/>
      <c r="AL59" s="5468"/>
      <c r="AM59" s="5468"/>
      <c r="AS59" s="1076">
        <v>27</v>
      </c>
    </row>
    <row r="60" spans="1:45" ht="65.25" customHeight="1">
      <c r="O60" s="475"/>
      <c r="T60" s="5468"/>
      <c r="U60" s="5468"/>
      <c r="V60" s="5468"/>
      <c r="W60" s="5468"/>
      <c r="X60" s="5468"/>
      <c r="Y60" s="5468"/>
      <c r="Z60" s="5468"/>
      <c r="AA60" s="5468"/>
      <c r="AB60" s="5468"/>
      <c r="AC60" s="5468"/>
      <c r="AD60" s="5468"/>
      <c r="AE60" s="5468"/>
      <c r="AF60" s="5468"/>
      <c r="AG60" s="5468"/>
      <c r="AH60" s="5468"/>
      <c r="AI60" s="5468"/>
      <c r="AJ60" s="5468"/>
      <c r="AK60" s="5468"/>
      <c r="AL60" s="5468"/>
      <c r="AM60" s="5468"/>
      <c r="AS60" s="1076">
        <v>62</v>
      </c>
    </row>
    <row r="61" spans="1:45" ht="14.65" customHeight="1">
      <c r="O61" s="475"/>
      <c r="AS61" s="1076">
        <v>14</v>
      </c>
    </row>
    <row r="62" spans="1:45" ht="18.75" customHeight="1">
      <c r="O62" s="475"/>
      <c r="S62" s="1174"/>
      <c r="T62" s="5468"/>
      <c r="U62" s="5468"/>
      <c r="V62" s="5468"/>
      <c r="W62" s="5468"/>
      <c r="X62" s="5468"/>
      <c r="Y62" s="5468"/>
      <c r="Z62" s="5468"/>
      <c r="AA62" s="5468"/>
      <c r="AB62" s="5468"/>
      <c r="AC62" s="5468"/>
      <c r="AD62" s="5468"/>
      <c r="AE62" s="5468"/>
      <c r="AF62" s="5468"/>
      <c r="AG62" s="5468"/>
      <c r="AH62" s="5468"/>
      <c r="AI62" s="5468"/>
      <c r="AJ62" s="5468"/>
      <c r="AK62" s="5468"/>
      <c r="AL62" s="5468"/>
      <c r="AM62" s="5468"/>
      <c r="AS62" s="1076">
        <v>18</v>
      </c>
    </row>
    <row r="63" spans="1:45" ht="18.75" customHeight="1">
      <c r="O63" s="475"/>
      <c r="T63" s="5468"/>
      <c r="U63" s="5468"/>
      <c r="V63" s="5468"/>
      <c r="W63" s="5468"/>
      <c r="X63" s="5468"/>
      <c r="Y63" s="5468"/>
      <c r="Z63" s="5468"/>
      <c r="AA63" s="5468"/>
      <c r="AB63" s="5468"/>
      <c r="AC63" s="5468"/>
      <c r="AD63" s="5468"/>
      <c r="AE63" s="5468"/>
      <c r="AF63" s="5468"/>
      <c r="AG63" s="5468"/>
      <c r="AH63" s="5468"/>
      <c r="AI63" s="5468"/>
      <c r="AJ63" s="5468"/>
      <c r="AK63" s="5468"/>
      <c r="AL63" s="5468"/>
      <c r="AM63" s="5468"/>
      <c r="AS63" s="1076">
        <v>18</v>
      </c>
    </row>
    <row r="64" spans="1:45" ht="29.25" customHeight="1">
      <c r="O64" s="475"/>
      <c r="S64" s="1174"/>
      <c r="T64" s="5468"/>
      <c r="U64" s="5468"/>
      <c r="V64" s="5468"/>
      <c r="W64" s="5468"/>
      <c r="X64" s="5468"/>
      <c r="Y64" s="5468"/>
      <c r="Z64" s="5468"/>
      <c r="AA64" s="5468"/>
      <c r="AB64" s="5468"/>
      <c r="AC64" s="5468"/>
      <c r="AD64" s="5468"/>
      <c r="AE64" s="5468"/>
      <c r="AF64" s="5468"/>
      <c r="AG64" s="5468"/>
      <c r="AH64" s="5468"/>
      <c r="AI64" s="5468"/>
      <c r="AJ64" s="5468"/>
      <c r="AK64" s="5468"/>
      <c r="AL64" s="5468"/>
      <c r="AM64" s="5468"/>
      <c r="AS64" s="1076">
        <v>28</v>
      </c>
    </row>
    <row r="65" spans="1:45" ht="22.5" hidden="1" customHeight="1">
      <c r="A65" s="1081" t="s">
        <v>82</v>
      </c>
      <c r="B65" s="1081">
        <v>0</v>
      </c>
      <c r="C65" s="1081">
        <v>0</v>
      </c>
      <c r="D65" s="1081">
        <v>0</v>
      </c>
      <c r="E65" s="1081">
        <v>0</v>
      </c>
      <c r="F65" s="1081">
        <v>0</v>
      </c>
      <c r="G65" s="1081">
        <v>0</v>
      </c>
      <c r="H65" s="1081">
        <v>0</v>
      </c>
      <c r="I65" s="1081">
        <v>0</v>
      </c>
      <c r="J65" s="1081">
        <v>0</v>
      </c>
      <c r="K65" s="1081">
        <v>0</v>
      </c>
      <c r="L65" s="1250">
        <v>0</v>
      </c>
      <c r="M65" s="1283">
        <v>0</v>
      </c>
      <c r="N65" s="1283">
        <v>0</v>
      </c>
      <c r="O65" s="1283">
        <v>0</v>
      </c>
      <c r="P65" s="1249">
        <v>3</v>
      </c>
      <c r="Q65" s="282">
        <v>3</v>
      </c>
      <c r="R65" s="282">
        <v>3</v>
      </c>
      <c r="S65" s="519">
        <v>12</v>
      </c>
      <c r="T65" s="1076">
        <v>31</v>
      </c>
      <c r="U65" s="1076">
        <v>0</v>
      </c>
      <c r="V65" s="1076">
        <v>0</v>
      </c>
      <c r="W65" s="1076">
        <v>0</v>
      </c>
      <c r="X65" s="1076">
        <v>0</v>
      </c>
      <c r="Y65" s="1076">
        <v>0</v>
      </c>
      <c r="Z65" s="1076">
        <v>0</v>
      </c>
      <c r="AA65" s="1076">
        <v>0</v>
      </c>
      <c r="AB65" s="1076">
        <v>0</v>
      </c>
      <c r="AC65" s="1076">
        <v>0</v>
      </c>
      <c r="AD65" s="1076">
        <v>24</v>
      </c>
      <c r="AE65" s="1076">
        <v>0</v>
      </c>
      <c r="AF65" s="1076">
        <v>24</v>
      </c>
      <c r="AG65" s="1076">
        <v>24</v>
      </c>
      <c r="AH65" s="1076">
        <v>11</v>
      </c>
      <c r="AI65" s="1076">
        <v>3</v>
      </c>
      <c r="AJ65" s="1076">
        <v>11</v>
      </c>
      <c r="AK65" s="1076">
        <v>0</v>
      </c>
      <c r="AL65" s="1076">
        <v>4</v>
      </c>
      <c r="AM65" s="1076">
        <v>115</v>
      </c>
      <c r="AN65" s="449">
        <v>10</v>
      </c>
      <c r="AO65" s="449">
        <v>10</v>
      </c>
      <c r="AP65" s="449">
        <v>10</v>
      </c>
      <c r="AQ65" s="449">
        <v>10</v>
      </c>
      <c r="AR65" s="449">
        <v>10</v>
      </c>
      <c r="AS65" s="1076">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267" hidden="1"/>
    <col min="2" max="2" width="11" style="4267" hidden="1" customWidth="1"/>
    <col min="3" max="3" width="10.5703125" style="4267" hidden="1"/>
    <col min="4" max="4" width="11.85546875" style="4267" hidden="1" customWidth="1"/>
    <col min="5" max="5" width="10" style="4267" hidden="1" customWidth="1"/>
    <col min="6" max="6" width="8.7109375" style="4267" hidden="1" customWidth="1"/>
    <col min="7" max="7" width="7.5703125" style="4267" hidden="1" customWidth="1"/>
    <col min="8" max="8" width="11.42578125" style="4267" hidden="1" customWidth="1"/>
    <col min="9" max="9" width="12" style="4267" hidden="1" customWidth="1"/>
    <col min="10" max="10" width="9.85546875" style="4267" hidden="1" customWidth="1"/>
    <col min="11" max="11" width="11.42578125" style="4267" hidden="1" customWidth="1"/>
    <col min="12" max="12" width="19.140625" style="4272" hidden="1" customWidth="1"/>
    <col min="13" max="14" width="12.28515625" style="4302" hidden="1" customWidth="1"/>
    <col min="15" max="15" width="23.42578125" style="4302" hidden="1" customWidth="1"/>
    <col min="16" max="16" width="3" style="4302" customWidth="1"/>
    <col min="17" max="18" width="3" style="4303" customWidth="1"/>
    <col min="19" max="19" width="12" style="4304" customWidth="1"/>
    <col min="20" max="20" width="31" style="4267" customWidth="1"/>
    <col min="21" max="21" width="0.140625" style="4267" customWidth="1"/>
    <col min="22" max="22" width="24.7109375" style="4267" hidden="1" customWidth="1"/>
    <col min="23" max="23" width="0.140625" style="4267" hidden="1" customWidth="1"/>
    <col min="24" max="25" width="24.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24.7109375" style="4267" customWidth="1"/>
    <col min="31" max="31" width="0.140625" style="4267" customWidth="1"/>
    <col min="32" max="33" width="24" style="4267" customWidth="1"/>
    <col min="34" max="34" width="11" style="4267" customWidth="1"/>
    <col min="35" max="35" width="3.7109375" style="4267" customWidth="1"/>
    <col min="36" max="36" width="11" style="4267" customWidth="1"/>
    <col min="37" max="37" width="8.5703125" style="4267" hidden="1" customWidth="1"/>
    <col min="38" max="38" width="4" style="4267" customWidth="1"/>
    <col min="39" max="39" width="115" style="4267" customWidth="1"/>
    <col min="40" max="44" width="10" style="4275" customWidth="1"/>
    <col min="45" max="45" width="10.5703125" style="4267" hidden="1"/>
  </cols>
  <sheetData>
    <row r="1" spans="1:45" ht="22.5" hidden="1" customHeight="1">
      <c r="AS1" s="1552" t="s">
        <v>14</v>
      </c>
    </row>
    <row r="2" spans="1:45" ht="21" hidden="1" customHeight="1">
      <c r="A2" s="1188"/>
      <c r="B2" s="1188"/>
      <c r="C2" s="1188"/>
      <c r="D2" s="1188"/>
      <c r="E2" s="5495">
        <v>1</v>
      </c>
      <c r="F2" s="1188"/>
      <c r="G2" s="1188"/>
      <c r="H2" s="1188"/>
      <c r="I2" s="1188"/>
      <c r="J2" s="1188"/>
      <c r="K2" s="1188"/>
      <c r="L2" s="1231"/>
      <c r="M2" s="1531"/>
      <c r="N2" s="1531"/>
      <c r="O2" s="1531"/>
      <c r="P2" s="1511"/>
      <c r="Q2" s="298"/>
      <c r="R2" s="293"/>
      <c r="S2" s="1873" t="e">
        <f>INDEX(PT_DIFFERENTIATION_NUM_NTAR,MATCH(A2,PT_DIFFERENTIATION_NTAR_ID,0))</f>
        <v>#N/A</v>
      </c>
      <c r="T2" s="1446" t="s">
        <v>155</v>
      </c>
      <c r="U2" s="238"/>
      <c r="V2" s="5463"/>
      <c r="W2" s="5464"/>
      <c r="X2" s="5464"/>
      <c r="Y2" s="5464"/>
      <c r="Z2" s="5464"/>
      <c r="AA2" s="5464"/>
      <c r="AB2" s="5464"/>
      <c r="AC2" s="5465"/>
      <c r="AD2" s="5463" t="e">
        <f>INDEX(PT_DIFFERENTIATION_NTAR,MATCH(A2,PT_DIFFERENTIATION_NTAR_ID,0))</f>
        <v>#N/A</v>
      </c>
      <c r="AE2" s="5464"/>
      <c r="AF2" s="5464"/>
      <c r="AG2" s="5464"/>
      <c r="AH2" s="5464"/>
      <c r="AI2" s="5464"/>
      <c r="AJ2" s="5464"/>
      <c r="AK2" s="5464"/>
      <c r="AL2" s="5465"/>
      <c r="AM2" s="1179" t="s">
        <v>489</v>
      </c>
      <c r="AO2" s="1545"/>
      <c r="AP2" s="1545" t="str">
        <f t="shared" ref="AP2:AP15" si="0">IF(T2="","",T2)</f>
        <v>Наименование тарифа</v>
      </c>
      <c r="AQ2" s="1545"/>
      <c r="AR2" s="1545"/>
      <c r="AS2" s="1552">
        <v>0</v>
      </c>
    </row>
    <row r="3" spans="1:45" ht="21" hidden="1" customHeight="1">
      <c r="A3" s="1188"/>
      <c r="B3" s="1188"/>
      <c r="C3" s="1188"/>
      <c r="D3" s="1188"/>
      <c r="E3" s="5496"/>
      <c r="F3" s="5495">
        <v>1</v>
      </c>
      <c r="G3" s="1188"/>
      <c r="H3" s="1188"/>
      <c r="I3" s="1188"/>
      <c r="J3" s="1188"/>
      <c r="K3" s="1188"/>
      <c r="L3" s="1231"/>
      <c r="M3" s="1531"/>
      <c r="N3" s="1531"/>
      <c r="O3" s="1531"/>
      <c r="P3" s="1855"/>
      <c r="Q3" s="290"/>
      <c r="R3" s="291"/>
      <c r="S3" s="1873" t="e">
        <f>INDEX(PT_DIFFERENTIATION_NUM_TER,MATCH(B3,PT_DIFFERENTIATION_TER_ID,0))</f>
        <v>#N/A</v>
      </c>
      <c r="T3" s="1443" t="s">
        <v>490</v>
      </c>
      <c r="U3" s="238"/>
      <c r="V3" s="5463"/>
      <c r="W3" s="5464"/>
      <c r="X3" s="5464"/>
      <c r="Y3" s="5464"/>
      <c r="Z3" s="5464"/>
      <c r="AA3" s="5464"/>
      <c r="AB3" s="5464"/>
      <c r="AC3" s="5465"/>
      <c r="AD3" s="5463" t="e">
        <f>INDEX(PT_DIFFERENTIATION_TER,MATCH(B3,PT_DIFFERENTIATION_TER_ID,0))</f>
        <v>#N/A</v>
      </c>
      <c r="AE3" s="5464"/>
      <c r="AF3" s="5464"/>
      <c r="AG3" s="5464"/>
      <c r="AH3" s="5464"/>
      <c r="AI3" s="5464"/>
      <c r="AJ3" s="5464"/>
      <c r="AK3" s="5464"/>
      <c r="AL3" s="5465"/>
      <c r="AM3" s="1179" t="s">
        <v>491</v>
      </c>
      <c r="AO3" s="1545"/>
      <c r="AP3" s="1545" t="str">
        <f t="shared" si="0"/>
        <v>Территория действия тарифа</v>
      </c>
      <c r="AQ3" s="1545"/>
      <c r="AR3" s="1545"/>
      <c r="AS3" s="1552">
        <v>0</v>
      </c>
    </row>
    <row r="4" spans="1:45" ht="23.25" hidden="1" customHeight="1">
      <c r="A4" s="1188"/>
      <c r="B4" s="1188"/>
      <c r="C4" s="1188"/>
      <c r="D4" s="1188"/>
      <c r="E4" s="5496"/>
      <c r="F4" s="5496"/>
      <c r="G4" s="5495">
        <v>1</v>
      </c>
      <c r="H4" s="1188"/>
      <c r="I4" s="1188"/>
      <c r="J4" s="1188"/>
      <c r="K4" s="1188"/>
      <c r="L4" s="1231"/>
      <c r="M4" s="1531"/>
      <c r="N4" s="1531"/>
      <c r="O4" s="1531"/>
      <c r="P4" s="292"/>
      <c r="Q4" s="290"/>
      <c r="R4" s="291"/>
      <c r="S4" s="1873" t="e">
        <f>INDEX(PT_DIFFERENTIATION_NUM_CS,MATCH(C4,PT_DIFFERENTIATION_CS_ID,0))</f>
        <v>#N/A</v>
      </c>
      <c r="T4" s="247" t="s">
        <v>492</v>
      </c>
      <c r="U4" s="238"/>
      <c r="V4" s="5463"/>
      <c r="W4" s="5464"/>
      <c r="X4" s="5464"/>
      <c r="Y4" s="5464"/>
      <c r="Z4" s="5464"/>
      <c r="AA4" s="5464"/>
      <c r="AB4" s="5464"/>
      <c r="AC4" s="5465"/>
      <c r="AD4" s="5463" t="e">
        <f>INDEX(PT_DIFFERENTIATION_CS,MATCH(C4,PT_DIFFERENTIATION_CS_ID,0))</f>
        <v>#N/A</v>
      </c>
      <c r="AE4" s="5464"/>
      <c r="AF4" s="5464"/>
      <c r="AG4" s="5464"/>
      <c r="AH4" s="5464"/>
      <c r="AI4" s="5464"/>
      <c r="AJ4" s="5464"/>
      <c r="AK4" s="5464"/>
      <c r="AL4" s="5465"/>
      <c r="AM4" s="1179" t="s">
        <v>493</v>
      </c>
      <c r="AO4" s="1545"/>
      <c r="AP4" s="1545" t="str">
        <f t="shared" si="0"/>
        <v xml:space="preserve">Наименование системы теплоснабжения </v>
      </c>
      <c r="AQ4" s="1545"/>
      <c r="AR4" s="1545"/>
      <c r="AS4" s="1552">
        <v>0</v>
      </c>
    </row>
    <row r="5" spans="1:45" ht="21" hidden="1" customHeight="1">
      <c r="A5" s="1188"/>
      <c r="B5" s="1188"/>
      <c r="C5" s="1188"/>
      <c r="D5" s="1188"/>
      <c r="E5" s="5496"/>
      <c r="F5" s="5496"/>
      <c r="G5" s="5496"/>
      <c r="H5" s="5495">
        <v>1</v>
      </c>
      <c r="I5" s="1188"/>
      <c r="J5" s="1188"/>
      <c r="K5" s="1188"/>
      <c r="L5" s="1231"/>
      <c r="M5" s="1531"/>
      <c r="N5" s="1531"/>
      <c r="O5" s="1531"/>
      <c r="P5" s="292"/>
      <c r="Q5" s="290"/>
      <c r="R5" s="291"/>
      <c r="S5" s="1873" t="e">
        <f>INDEX(PT_DIFFERENTIATION_NUM_IST_TE,MATCH(D5,PT_DIFFERENTIATION_IST_TE_ID,0))</f>
        <v>#N/A</v>
      </c>
      <c r="T5" s="248" t="s">
        <v>494</v>
      </c>
      <c r="U5" s="238"/>
      <c r="V5" s="5463"/>
      <c r="W5" s="5464"/>
      <c r="X5" s="5464"/>
      <c r="Y5" s="5464"/>
      <c r="Z5" s="5464"/>
      <c r="AA5" s="5464"/>
      <c r="AB5" s="5464"/>
      <c r="AC5" s="5465"/>
      <c r="AD5" s="5463" t="e">
        <f>INDEX(PT_DIFFERENTIATION_IST_TE,MATCH(D5,PT_DIFFERENTIATION_IST_TE_ID,0))</f>
        <v>#N/A</v>
      </c>
      <c r="AE5" s="5464"/>
      <c r="AF5" s="5464"/>
      <c r="AG5" s="5464"/>
      <c r="AH5" s="5464"/>
      <c r="AI5" s="5464"/>
      <c r="AJ5" s="5464"/>
      <c r="AK5" s="5464"/>
      <c r="AL5" s="5465"/>
      <c r="AM5" s="1179" t="s">
        <v>495</v>
      </c>
      <c r="AO5" s="1545"/>
      <c r="AP5" s="1545" t="str">
        <f t="shared" si="0"/>
        <v xml:space="preserve">Источник тепловой энергии  </v>
      </c>
      <c r="AQ5" s="1545"/>
      <c r="AR5" s="1545"/>
      <c r="AS5" s="1552">
        <v>0</v>
      </c>
    </row>
    <row r="6" spans="1:45" ht="47.25" hidden="1" customHeight="1">
      <c r="A6" s="1188"/>
      <c r="B6" s="1188"/>
      <c r="C6" s="1188"/>
      <c r="D6" s="1188"/>
      <c r="E6" s="5496"/>
      <c r="F6" s="5496"/>
      <c r="G6" s="5496"/>
      <c r="H6" s="5496"/>
      <c r="I6" s="5328" t="e">
        <f>S5&amp;".1"</f>
        <v>#N/A</v>
      </c>
      <c r="J6" s="1188"/>
      <c r="K6" s="1188"/>
      <c r="L6" s="1231" t="s">
        <v>496</v>
      </c>
      <c r="M6" s="1556"/>
      <c r="P6" s="5473">
        <v>1</v>
      </c>
      <c r="Q6" s="1869"/>
      <c r="R6" s="294"/>
      <c r="S6" s="1873" t="e">
        <f>$I6</f>
        <v>#N/A</v>
      </c>
      <c r="T6" s="223" t="s">
        <v>497</v>
      </c>
      <c r="U6" s="238"/>
      <c r="V6" s="5457"/>
      <c r="W6" s="5458"/>
      <c r="X6" s="5458"/>
      <c r="Y6" s="5458"/>
      <c r="Z6" s="5458"/>
      <c r="AA6" s="5458"/>
      <c r="AB6" s="5458"/>
      <c r="AC6" s="5459"/>
      <c r="AD6" s="5457"/>
      <c r="AE6" s="5458"/>
      <c r="AF6" s="5458"/>
      <c r="AG6" s="5458"/>
      <c r="AH6" s="5458"/>
      <c r="AI6" s="5458"/>
      <c r="AJ6" s="5458"/>
      <c r="AK6" s="5458"/>
      <c r="AL6" s="5459"/>
      <c r="AM6" s="1179" t="s">
        <v>498</v>
      </c>
      <c r="AO6" s="1545"/>
      <c r="AP6" s="1545" t="str">
        <f t="shared" si="0"/>
        <v>Схема подключения теплопотребляющей установки к коллектору источника тепловой энергии</v>
      </c>
      <c r="AQ6" s="1545"/>
      <c r="AR6" s="1545"/>
      <c r="AS6" s="1552">
        <v>0</v>
      </c>
    </row>
    <row r="7" spans="1:45" ht="21" hidden="1" customHeight="1">
      <c r="A7" s="1188"/>
      <c r="B7" s="1188"/>
      <c r="C7" s="1188"/>
      <c r="D7" s="1188"/>
      <c r="E7" s="5496"/>
      <c r="F7" s="5496"/>
      <c r="G7" s="5496"/>
      <c r="H7" s="5496"/>
      <c r="I7" s="5309"/>
      <c r="J7" s="5328" t="e">
        <f>I6&amp;".1"</f>
        <v>#N/A</v>
      </c>
      <c r="K7" s="1188"/>
      <c r="L7" s="1231" t="s">
        <v>499</v>
      </c>
      <c r="M7" s="1556"/>
      <c r="N7" s="1552"/>
      <c r="P7" s="5473"/>
      <c r="Q7" s="5473">
        <v>1</v>
      </c>
      <c r="R7" s="295"/>
      <c r="S7" s="1873" t="e">
        <f>$J7</f>
        <v>#N/A</v>
      </c>
      <c r="T7" s="224" t="s">
        <v>500</v>
      </c>
      <c r="U7" s="238"/>
      <c r="V7" s="5457"/>
      <c r="W7" s="5458"/>
      <c r="X7" s="5458"/>
      <c r="Y7" s="5458"/>
      <c r="Z7" s="5458"/>
      <c r="AA7" s="5458"/>
      <c r="AB7" s="5458"/>
      <c r="AC7" s="5459"/>
      <c r="AD7" s="5457"/>
      <c r="AE7" s="5458"/>
      <c r="AF7" s="5458"/>
      <c r="AG7" s="5458"/>
      <c r="AH7" s="5458"/>
      <c r="AI7" s="5458"/>
      <c r="AJ7" s="5458"/>
      <c r="AK7" s="5458"/>
      <c r="AL7" s="5459"/>
      <c r="AM7" s="1179" t="s">
        <v>501</v>
      </c>
      <c r="AO7" s="1545"/>
      <c r="AP7" s="1545" t="str">
        <f t="shared" si="0"/>
        <v>Группа потребителей</v>
      </c>
      <c r="AQ7" s="1545"/>
      <c r="AR7" s="1545"/>
      <c r="AS7" s="1552">
        <v>0</v>
      </c>
    </row>
    <row r="8" spans="1:45" ht="21" hidden="1" customHeight="1">
      <c r="A8" s="1188"/>
      <c r="B8" s="1188"/>
      <c r="C8" s="1188"/>
      <c r="D8" s="1188"/>
      <c r="E8" s="5496"/>
      <c r="F8" s="5496"/>
      <c r="G8" s="5496"/>
      <c r="H8" s="5496"/>
      <c r="I8" s="5309"/>
      <c r="J8" s="5309"/>
      <c r="K8" s="5328" t="e">
        <f>J7&amp;".1"</f>
        <v>#N/A</v>
      </c>
      <c r="L8" s="1231" t="s">
        <v>502</v>
      </c>
      <c r="M8" s="1556"/>
      <c r="N8" s="1552"/>
      <c r="O8" s="1552"/>
      <c r="P8" s="5473"/>
      <c r="Q8" s="5473"/>
      <c r="R8" s="295">
        <v>1</v>
      </c>
      <c r="S8" s="1873" t="e">
        <f>$K8</f>
        <v>#N/A</v>
      </c>
      <c r="T8" s="1268"/>
      <c r="U8" s="238"/>
      <c r="V8" s="689"/>
      <c r="W8" s="263"/>
      <c r="X8" s="689"/>
      <c r="Y8" s="1178"/>
      <c r="Z8" s="5474"/>
      <c r="AA8" s="5338" t="s">
        <v>66</v>
      </c>
      <c r="AB8" s="5474"/>
      <c r="AC8" s="5338" t="s">
        <v>66</v>
      </c>
      <c r="AD8" s="689"/>
      <c r="AE8" s="263"/>
      <c r="AF8" s="689"/>
      <c r="AG8" s="1178"/>
      <c r="AH8" s="5474"/>
      <c r="AI8" s="5338" t="s">
        <v>66</v>
      </c>
      <c r="AJ8" s="5474"/>
      <c r="AK8" s="5338" t="s">
        <v>66</v>
      </c>
      <c r="AL8" s="263"/>
      <c r="AM8" s="5492" t="s">
        <v>503</v>
      </c>
      <c r="AN8" s="1557" t="e">
        <f ca="1">STRCHECKDATE(V9:AL9)</f>
        <v>#NAME?</v>
      </c>
      <c r="AO8" s="1545"/>
      <c r="AP8" s="1545" t="str">
        <f t="shared" si="0"/>
        <v/>
      </c>
      <c r="AQ8" s="1545"/>
      <c r="AR8" s="1545"/>
      <c r="AS8" s="1552">
        <v>0</v>
      </c>
    </row>
    <row r="9" spans="1:45" ht="0.75" hidden="1" customHeight="1">
      <c r="A9" s="1188"/>
      <c r="B9" s="1188"/>
      <c r="C9" s="1188"/>
      <c r="D9" s="1188"/>
      <c r="E9" s="5496"/>
      <c r="F9" s="5496"/>
      <c r="G9" s="5496"/>
      <c r="H9" s="5496"/>
      <c r="I9" s="5309"/>
      <c r="J9" s="5309"/>
      <c r="K9" s="5328"/>
      <c r="L9" s="1231"/>
      <c r="M9" s="1556"/>
      <c r="N9" s="1552"/>
      <c r="O9" s="1552"/>
      <c r="P9" s="5473"/>
      <c r="Q9" s="5473"/>
      <c r="R9" s="295"/>
      <c r="S9" s="1882"/>
      <c r="T9" s="238"/>
      <c r="U9" s="238"/>
      <c r="V9" s="263"/>
      <c r="W9" s="263"/>
      <c r="X9" s="263"/>
      <c r="Y9" s="266" t="str">
        <f>Z8&amp;"-"&amp;AB8</f>
        <v>-</v>
      </c>
      <c r="Z9" s="5475"/>
      <c r="AA9" s="5338"/>
      <c r="AB9" s="5475"/>
      <c r="AC9" s="5338"/>
      <c r="AD9" s="263"/>
      <c r="AE9" s="263"/>
      <c r="AF9" s="263"/>
      <c r="AG9" s="266" t="str">
        <f>AH8&amp;"-"&amp;AJ8</f>
        <v>-</v>
      </c>
      <c r="AH9" s="5475"/>
      <c r="AI9" s="5338"/>
      <c r="AJ9" s="5475"/>
      <c r="AK9" s="5338"/>
      <c r="AL9" s="263"/>
      <c r="AM9" s="5493"/>
      <c r="AO9" s="1545"/>
      <c r="AP9" s="1545" t="str">
        <f t="shared" si="0"/>
        <v/>
      </c>
      <c r="AQ9" s="1545"/>
      <c r="AR9" s="1545"/>
      <c r="AS9" s="1552">
        <v>0</v>
      </c>
    </row>
    <row r="10" spans="1:45" ht="15" hidden="1" customHeight="1">
      <c r="A10" s="1188"/>
      <c r="B10" s="1188"/>
      <c r="C10" s="1188"/>
      <c r="D10" s="1188"/>
      <c r="E10" s="5496"/>
      <c r="F10" s="5496"/>
      <c r="G10" s="5496"/>
      <c r="H10" s="5496"/>
      <c r="I10" s="5309"/>
      <c r="J10" s="5328"/>
      <c r="K10" s="1188"/>
      <c r="L10" s="1231"/>
      <c r="M10" s="1556"/>
      <c r="N10" s="1552"/>
      <c r="P10" s="5473"/>
      <c r="Q10" s="5473"/>
      <c r="R10" s="294"/>
      <c r="S10" s="1199"/>
      <c r="T10" s="226" t="s">
        <v>504</v>
      </c>
      <c r="U10" s="538"/>
      <c r="V10" s="538"/>
      <c r="W10" s="538"/>
      <c r="X10" s="538"/>
      <c r="Y10" s="538"/>
      <c r="Z10" s="538"/>
      <c r="AA10" s="538"/>
      <c r="AB10" s="538"/>
      <c r="AC10" s="538"/>
      <c r="AD10" s="538"/>
      <c r="AE10" s="538"/>
      <c r="AF10" s="538"/>
      <c r="AG10" s="538"/>
      <c r="AH10" s="538"/>
      <c r="AI10" s="538"/>
      <c r="AJ10" s="538"/>
      <c r="AK10" s="538"/>
      <c r="AL10" s="262"/>
      <c r="AM10" s="5494"/>
      <c r="AO10" s="1545"/>
      <c r="AP10" s="1545" t="str">
        <f t="shared" si="0"/>
        <v>Добавить вид теплоносителя (параметры теплоносителя)</v>
      </c>
      <c r="AQ10" s="1545"/>
      <c r="AR10" s="1545"/>
      <c r="AS10" s="1552">
        <v>0</v>
      </c>
    </row>
    <row r="11" spans="1:45" ht="15" hidden="1" customHeight="1">
      <c r="A11" s="1188"/>
      <c r="B11" s="1188"/>
      <c r="C11" s="1188"/>
      <c r="D11" s="1188"/>
      <c r="E11" s="5496"/>
      <c r="F11" s="5496"/>
      <c r="G11" s="5496"/>
      <c r="H11" s="5496"/>
      <c r="I11" s="5328"/>
      <c r="J11" s="1188"/>
      <c r="K11" s="1188"/>
      <c r="L11" s="1231"/>
      <c r="M11" s="1556"/>
      <c r="P11" s="5473"/>
      <c r="Q11" s="1869"/>
      <c r="R11" s="294"/>
      <c r="S11" s="1199"/>
      <c r="T11" s="225" t="s">
        <v>505</v>
      </c>
      <c r="U11" s="538"/>
      <c r="V11" s="538"/>
      <c r="W11" s="538"/>
      <c r="X11" s="538"/>
      <c r="Y11" s="538"/>
      <c r="Z11" s="538"/>
      <c r="AA11" s="538"/>
      <c r="AB11" s="538"/>
      <c r="AC11" s="304"/>
      <c r="AD11" s="538"/>
      <c r="AE11" s="538"/>
      <c r="AF11" s="538"/>
      <c r="AG11" s="538"/>
      <c r="AH11" s="538"/>
      <c r="AI11" s="538"/>
      <c r="AJ11" s="538"/>
      <c r="AK11" s="304"/>
      <c r="AL11" s="538"/>
      <c r="AM11" s="241"/>
      <c r="AO11" s="1545"/>
      <c r="AP11" s="1545" t="str">
        <f t="shared" si="0"/>
        <v>Добавить группу потребителей</v>
      </c>
      <c r="AQ11" s="1545"/>
      <c r="AR11" s="1545"/>
      <c r="AS11" s="1552">
        <v>0</v>
      </c>
    </row>
    <row r="12" spans="1:45" ht="14.25" hidden="1" customHeight="1">
      <c r="A12" s="1188"/>
      <c r="B12" s="1188"/>
      <c r="C12" s="1188"/>
      <c r="D12" s="1188"/>
      <c r="E12" s="5496"/>
      <c r="F12" s="5496"/>
      <c r="G12" s="5496"/>
      <c r="H12" s="5495"/>
      <c r="I12" s="1188"/>
      <c r="J12" s="1188"/>
      <c r="K12" s="1188"/>
      <c r="L12" s="1231"/>
      <c r="M12" s="1531"/>
      <c r="N12" s="1531"/>
      <c r="O12" s="1556"/>
      <c r="P12" s="298"/>
      <c r="Q12" s="313"/>
      <c r="R12" s="293"/>
      <c r="S12" s="1199"/>
      <c r="T12" s="303" t="s">
        <v>506</v>
      </c>
      <c r="U12" s="538"/>
      <c r="V12" s="538"/>
      <c r="W12" s="538"/>
      <c r="X12" s="538"/>
      <c r="Y12" s="538"/>
      <c r="Z12" s="538"/>
      <c r="AA12" s="538"/>
      <c r="AB12" s="538"/>
      <c r="AC12" s="304"/>
      <c r="AD12" s="538"/>
      <c r="AE12" s="538"/>
      <c r="AF12" s="538"/>
      <c r="AG12" s="538"/>
      <c r="AH12" s="538"/>
      <c r="AI12" s="538"/>
      <c r="AJ12" s="538"/>
      <c r="AK12" s="304"/>
      <c r="AL12" s="538"/>
      <c r="AM12" s="241"/>
      <c r="AO12" s="1545"/>
      <c r="AP12" s="1545" t="str">
        <f t="shared" si="0"/>
        <v>Добавить схему подключения</v>
      </c>
      <c r="AQ12" s="1545"/>
      <c r="AR12" s="1545"/>
      <c r="AS12" s="1552">
        <v>0</v>
      </c>
    </row>
    <row r="13" spans="1:45" s="4275" customFormat="1" ht="0.75" hidden="1" customHeight="1">
      <c r="A13" s="1295"/>
      <c r="B13" s="1295"/>
      <c r="C13" s="1295"/>
      <c r="D13" s="1295"/>
      <c r="E13" s="5496"/>
      <c r="F13" s="5496"/>
      <c r="G13" s="5495"/>
      <c r="H13" s="1295"/>
      <c r="I13" s="1295"/>
      <c r="J13" s="1295"/>
      <c r="K13" s="1295"/>
      <c r="L13" s="1298"/>
      <c r="M13" s="1299"/>
      <c r="N13" s="1299"/>
      <c r="O13" s="289"/>
      <c r="P13" s="1237"/>
      <c r="Q13" s="1238"/>
      <c r="R13" s="1237"/>
      <c r="S13" s="1239"/>
      <c r="T13" s="1240" t="s">
        <v>507</v>
      </c>
      <c r="U13" s="1241"/>
      <c r="V13" s="1241"/>
      <c r="W13" s="1241"/>
      <c r="X13" s="1241"/>
      <c r="Y13" s="1241"/>
      <c r="Z13" s="1241"/>
      <c r="AA13" s="1241"/>
      <c r="AB13" s="1241"/>
      <c r="AC13" s="1241"/>
      <c r="AD13" s="1241"/>
      <c r="AE13" s="1241"/>
      <c r="AF13" s="1241"/>
      <c r="AG13" s="1241"/>
      <c r="AH13" s="1241"/>
      <c r="AI13" s="1241"/>
      <c r="AJ13" s="1241"/>
      <c r="AK13" s="1241"/>
      <c r="AL13" s="1241"/>
      <c r="AM13" s="1241"/>
      <c r="AO13" s="1172"/>
      <c r="AP13" s="1172" t="str">
        <f t="shared" si="0"/>
        <v>Добавить источник для дифференциации</v>
      </c>
      <c r="AQ13" s="1172"/>
      <c r="AR13" s="1172"/>
      <c r="AS13" s="1563">
        <v>0</v>
      </c>
    </row>
    <row r="14" spans="1:45" s="4275" customFormat="1" ht="0.75" hidden="1" customHeight="1">
      <c r="A14" s="1295"/>
      <c r="B14" s="1295"/>
      <c r="C14" s="1295"/>
      <c r="D14" s="1295"/>
      <c r="E14" s="5496"/>
      <c r="F14" s="5495"/>
      <c r="G14" s="1295"/>
      <c r="H14" s="1295"/>
      <c r="I14" s="1295"/>
      <c r="J14" s="1295"/>
      <c r="K14" s="1295"/>
      <c r="L14" s="1298"/>
      <c r="M14" s="1300"/>
      <c r="N14" s="1300"/>
      <c r="O14" s="289"/>
      <c r="P14" s="1237"/>
      <c r="Q14" s="1238"/>
      <c r="R14" s="1237"/>
      <c r="S14" s="1243"/>
      <c r="T14" s="1244" t="s">
        <v>312</v>
      </c>
      <c r="U14" s="1245"/>
      <c r="V14" s="1245"/>
      <c r="W14" s="1245"/>
      <c r="X14" s="1245"/>
      <c r="Y14" s="1245"/>
      <c r="Z14" s="1245"/>
      <c r="AA14" s="1245"/>
      <c r="AB14" s="1245"/>
      <c r="AC14" s="1245"/>
      <c r="AD14" s="1245"/>
      <c r="AE14" s="1245"/>
      <c r="AF14" s="1245"/>
      <c r="AG14" s="1245"/>
      <c r="AH14" s="1245"/>
      <c r="AI14" s="1245"/>
      <c r="AJ14" s="1245"/>
      <c r="AK14" s="1245"/>
      <c r="AL14" s="1245"/>
      <c r="AM14" s="1245"/>
      <c r="AO14" s="1172"/>
      <c r="AP14" s="1172" t="str">
        <f t="shared" si="0"/>
        <v>Добавить централизованную систему для дифференциации</v>
      </c>
      <c r="AQ14" s="1172"/>
      <c r="AR14" s="1172"/>
      <c r="AS14" s="1563">
        <v>0</v>
      </c>
    </row>
    <row r="15" spans="1:45" s="4275" customFormat="1" ht="0.75" hidden="1" customHeight="1">
      <c r="A15" s="1295"/>
      <c r="B15" s="1295"/>
      <c r="C15" s="1295"/>
      <c r="D15" s="1295"/>
      <c r="E15" s="5495"/>
      <c r="F15" s="1295"/>
      <c r="G15" s="1295"/>
      <c r="H15" s="1295"/>
      <c r="I15" s="1295"/>
      <c r="J15" s="1295"/>
      <c r="K15" s="1295"/>
      <c r="L15" s="1298"/>
      <c r="M15" s="1300"/>
      <c r="N15" s="1300"/>
      <c r="O15" s="289"/>
      <c r="P15" s="1237"/>
      <c r="Q15" s="1238"/>
      <c r="R15" s="1237"/>
      <c r="S15" s="1243"/>
      <c r="T15" s="1246" t="s">
        <v>360</v>
      </c>
      <c r="U15" s="1245"/>
      <c r="V15" s="1245"/>
      <c r="W15" s="1245"/>
      <c r="X15" s="1245"/>
      <c r="Y15" s="1245"/>
      <c r="Z15" s="1245"/>
      <c r="AA15" s="1245"/>
      <c r="AB15" s="1245"/>
      <c r="AC15" s="1245"/>
      <c r="AD15" s="1245"/>
      <c r="AE15" s="1245"/>
      <c r="AF15" s="1245"/>
      <c r="AG15" s="1245"/>
      <c r="AH15" s="1245"/>
      <c r="AI15" s="1245"/>
      <c r="AJ15" s="1245"/>
      <c r="AK15" s="1245"/>
      <c r="AL15" s="1245"/>
      <c r="AM15" s="1245"/>
      <c r="AO15" s="1172"/>
      <c r="AP15" s="1172" t="str">
        <f t="shared" si="0"/>
        <v>Добавить территорию для дифференциации</v>
      </c>
      <c r="AQ15" s="1172"/>
      <c r="AR15" s="1172"/>
      <c r="AS15" s="1563">
        <v>0</v>
      </c>
    </row>
    <row r="16" spans="1:45" ht="14.25" hidden="1" customHeight="1">
      <c r="AS16" s="1552">
        <v>0</v>
      </c>
    </row>
    <row r="17" spans="1:45" ht="14.25" hidden="1" customHeight="1">
      <c r="AD17" s="1281"/>
      <c r="AE17" s="1281"/>
      <c r="AF17" s="1281"/>
      <c r="AG17" s="1282"/>
      <c r="AH17" s="5467"/>
      <c r="AI17" s="5466" t="s">
        <v>66</v>
      </c>
      <c r="AJ17" s="5467"/>
      <c r="AK17" s="5466" t="s">
        <v>66</v>
      </c>
      <c r="AS17" s="1552">
        <v>0</v>
      </c>
    </row>
    <row r="18" spans="1:45" ht="14.25" hidden="1" customHeight="1">
      <c r="AD18" s="1281"/>
      <c r="AE18" s="1281"/>
      <c r="AF18" s="1281"/>
      <c r="AG18" s="266" t="str">
        <f>AH17&amp;"-"&amp;AJ17</f>
        <v>-</v>
      </c>
      <c r="AH18" s="5466"/>
      <c r="AI18" s="5466"/>
      <c r="AJ18" s="5466"/>
      <c r="AK18" s="5466"/>
      <c r="AS18" s="1552">
        <v>0</v>
      </c>
    </row>
    <row r="19" spans="1:45" ht="14.25" hidden="1" customHeight="1">
      <c r="AS19" s="1552">
        <v>0</v>
      </c>
    </row>
    <row r="20" spans="1:45" s="4274" customFormat="1" ht="14.25" hidden="1" customHeight="1">
      <c r="A20" s="1552"/>
      <c r="B20" s="1552"/>
      <c r="C20" s="1552"/>
      <c r="D20" s="1552"/>
      <c r="E20" s="1552"/>
      <c r="F20" s="1552"/>
      <c r="G20" s="1552"/>
      <c r="H20" s="1552"/>
      <c r="I20" s="1552"/>
      <c r="J20" s="1552"/>
      <c r="K20" s="1552"/>
      <c r="L20" s="1854"/>
      <c r="M20" s="1880"/>
      <c r="N20" s="1880"/>
      <c r="O20" s="1266" t="s">
        <v>508</v>
      </c>
      <c r="P20" s="1283"/>
      <c r="Q20" s="1292"/>
      <c r="R20" s="1292"/>
      <c r="S20" s="667"/>
      <c r="Z20" s="1288"/>
      <c r="AB20" s="1288"/>
      <c r="AH20" s="1288"/>
      <c r="AJ20" s="1288"/>
      <c r="AN20" s="1557"/>
      <c r="AO20" s="1557"/>
      <c r="AP20" s="1557"/>
      <c r="AQ20" s="1557"/>
      <c r="AR20" s="1557"/>
      <c r="AS20" s="1287">
        <v>0</v>
      </c>
    </row>
    <row r="21" spans="1:45" s="4274" customFormat="1" ht="14.25" hidden="1" customHeight="1">
      <c r="A21" s="1552"/>
      <c r="B21" s="1552"/>
      <c r="C21" s="1552"/>
      <c r="D21" s="1552"/>
      <c r="E21" s="1552"/>
      <c r="F21" s="1552"/>
      <c r="G21" s="1552"/>
      <c r="H21" s="1552"/>
      <c r="I21" s="1552"/>
      <c r="J21" s="1552"/>
      <c r="K21" s="1552"/>
      <c r="L21" s="1854"/>
      <c r="M21" s="1880"/>
      <c r="N21" s="1880"/>
      <c r="O21" s="1880"/>
      <c r="P21" s="1283"/>
      <c r="Q21" s="1292"/>
      <c r="R21" s="1292"/>
      <c r="S21" s="667"/>
      <c r="AN21" s="1557"/>
      <c r="AO21" s="1557"/>
      <c r="AP21" s="1557"/>
      <c r="AQ21" s="1557"/>
      <c r="AR21" s="1557"/>
      <c r="AS21" s="1287">
        <v>0</v>
      </c>
    </row>
    <row r="22" spans="1:45" s="4274" customFormat="1" ht="14.25" hidden="1" customHeight="1">
      <c r="A22" s="1552"/>
      <c r="B22" s="1552"/>
      <c r="C22" s="1552"/>
      <c r="D22" s="1552"/>
      <c r="E22" s="1552"/>
      <c r="F22" s="1552"/>
      <c r="G22" s="1552"/>
      <c r="H22" s="1552"/>
      <c r="I22" s="1552"/>
      <c r="J22" s="1552"/>
      <c r="K22" s="1552"/>
      <c r="L22" s="1854"/>
      <c r="M22" s="1880"/>
      <c r="N22" s="1880"/>
      <c r="O22" s="1231" t="s">
        <v>509</v>
      </c>
      <c r="P22" s="1283"/>
      <c r="Q22" s="1292"/>
      <c r="R22" s="1292"/>
      <c r="S22" s="667"/>
      <c r="T22" s="1287" t="s">
        <v>510</v>
      </c>
      <c r="AA22" s="533" t="s">
        <v>511</v>
      </c>
      <c r="AC22" s="533" t="s">
        <v>512</v>
      </c>
      <c r="AD22" s="1287" t="s">
        <v>510</v>
      </c>
      <c r="AI22" s="533" t="s">
        <v>513</v>
      </c>
      <c r="AK22" s="533" t="s">
        <v>512</v>
      </c>
      <c r="AN22" s="1557"/>
      <c r="AO22" s="1557"/>
      <c r="AP22" s="1557"/>
      <c r="AQ22" s="1557"/>
      <c r="AR22" s="1557"/>
      <c r="AS22" s="1287">
        <v>0</v>
      </c>
    </row>
    <row r="23" spans="1:45" ht="14.25" hidden="1" customHeight="1">
      <c r="O23" s="1231"/>
      <c r="AS23" s="1552">
        <v>0</v>
      </c>
    </row>
    <row r="24" spans="1:45" ht="14.25" hidden="1" customHeight="1">
      <c r="O24" s="1231"/>
      <c r="AS24" s="1552">
        <v>0</v>
      </c>
    </row>
    <row r="25" spans="1:45" ht="14.65" customHeight="1">
      <c r="Q25" s="314"/>
      <c r="R25" s="314"/>
      <c r="S25" s="1196"/>
      <c r="T25" s="395"/>
      <c r="U25" s="395"/>
      <c r="V25" s="1556"/>
      <c r="W25" s="1556"/>
      <c r="X25" s="1556"/>
      <c r="Y25" s="1556"/>
      <c r="Z25" s="1556"/>
      <c r="AA25" s="1556"/>
      <c r="AB25" s="1556"/>
      <c r="AC25" s="1556"/>
      <c r="AD25" s="1556"/>
      <c r="AE25" s="1556"/>
      <c r="AF25" s="1556"/>
      <c r="AG25" s="1556"/>
      <c r="AH25" s="1556"/>
      <c r="AI25" s="1556"/>
      <c r="AJ25" s="1556"/>
      <c r="AK25" s="1556"/>
      <c r="AS25" s="1552">
        <v>14</v>
      </c>
    </row>
    <row r="26" spans="1:45" ht="14.65" customHeight="1">
      <c r="Q26" s="314"/>
      <c r="R26" s="314"/>
      <c r="S26" s="5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450"/>
      <c r="U26" s="5450"/>
      <c r="V26" s="5450"/>
      <c r="W26" s="5450"/>
      <c r="X26" s="5450"/>
      <c r="Y26" s="5450"/>
      <c r="Z26" s="5450"/>
      <c r="AA26" s="5450"/>
      <c r="AB26" s="5450"/>
      <c r="AC26" s="5450"/>
      <c r="AD26" s="5450"/>
      <c r="AE26" s="5450"/>
      <c r="AF26" s="5450"/>
      <c r="AG26" s="5450"/>
      <c r="AH26" s="5450"/>
      <c r="AI26" s="5450"/>
      <c r="AJ26" s="5450"/>
      <c r="AK26" s="1164"/>
      <c r="AS26" s="1552">
        <v>14</v>
      </c>
    </row>
    <row r="27" spans="1:45" ht="14.65" customHeight="1">
      <c r="Q27" s="314"/>
      <c r="R27" s="314"/>
      <c r="S27" s="5423" t="str">
        <f>IF(org=0,"Не определено",org)</f>
        <v>КГУП "Примтеплоэнерго"</v>
      </c>
      <c r="T27" s="5423"/>
      <c r="U27" s="5423"/>
      <c r="V27" s="5423"/>
      <c r="W27" s="5423"/>
      <c r="X27" s="5423"/>
      <c r="Y27" s="5423"/>
      <c r="Z27" s="5423"/>
      <c r="AA27" s="5423"/>
      <c r="AB27" s="5423"/>
      <c r="AC27" s="5423"/>
      <c r="AD27" s="5423"/>
      <c r="AE27" s="5423"/>
      <c r="AF27" s="5423"/>
      <c r="AG27" s="5423"/>
      <c r="AH27" s="5423"/>
      <c r="AI27" s="5423"/>
      <c r="AJ27" s="5423"/>
      <c r="AK27" s="1164"/>
      <c r="AS27" s="1552">
        <v>14</v>
      </c>
    </row>
    <row r="28" spans="1:45" ht="14.25" hidden="1" customHeight="1">
      <c r="Q28" s="314"/>
      <c r="R28" s="314"/>
      <c r="S28" s="1196"/>
      <c r="T28" s="395"/>
      <c r="U28" s="395"/>
      <c r="V28" s="260"/>
      <c r="W28" s="260"/>
      <c r="X28" s="260"/>
      <c r="Y28" s="260"/>
      <c r="Z28" s="260"/>
      <c r="AA28" s="260"/>
      <c r="AB28" s="260"/>
      <c r="AC28" s="260"/>
      <c r="AD28" s="260"/>
      <c r="AE28" s="260"/>
      <c r="AF28" s="260"/>
      <c r="AG28" s="260"/>
      <c r="AH28" s="260"/>
      <c r="AI28" s="260"/>
      <c r="AJ28" s="260"/>
      <c r="AK28" s="260"/>
      <c r="AL28" s="1556"/>
      <c r="AS28" s="1552">
        <v>0</v>
      </c>
    </row>
    <row r="29" spans="1:45" s="4284" customFormat="1" ht="25.5" hidden="1" customHeight="1">
      <c r="A29" s="1169"/>
      <c r="B29" s="1169"/>
      <c r="C29" s="1169"/>
      <c r="D29" s="1169"/>
      <c r="E29" s="1169"/>
      <c r="F29" s="1169"/>
      <c r="G29" s="1169"/>
      <c r="H29" s="1169"/>
      <c r="I29" s="1169"/>
      <c r="J29" s="1169"/>
      <c r="K29" s="1169"/>
      <c r="L29" s="1301"/>
      <c r="M29" s="1169"/>
      <c r="N29" s="1169"/>
      <c r="O29" s="1169"/>
      <c r="S29" s="5460" t="s">
        <v>42</v>
      </c>
      <c r="T29" s="5460"/>
      <c r="U29" s="1293"/>
      <c r="V29" s="5462" t="str">
        <f>IF(TITLE_NAME_OR_PR_CHANGE="",IF(TITLE_NAME_OR_PR="","",TITLE_NAME_OR_PR),TITLE_NAME_OR_PR_CHANGE)</f>
        <v/>
      </c>
      <c r="W29" s="5462"/>
      <c r="X29" s="5462"/>
      <c r="Y29" s="5462"/>
      <c r="Z29" s="5462"/>
      <c r="AA29" s="5462"/>
      <c r="AB29" s="5462"/>
      <c r="AC29" s="1556"/>
      <c r="AD29" s="5462" t="str">
        <f>IF(TITLE_NAME_OR_PR_CHANGE="",IF(TITLE_NAME_OR_PR="","",TITLE_NAME_OR_PR),TITLE_NAME_OR_PR_CHANGE)</f>
        <v/>
      </c>
      <c r="AE29" s="5462"/>
      <c r="AF29" s="5462"/>
      <c r="AG29" s="5462"/>
      <c r="AH29" s="5462"/>
      <c r="AI29" s="5462"/>
      <c r="AJ29" s="5462"/>
      <c r="AK29" s="1556"/>
      <c r="AL29" s="1556"/>
      <c r="AM29" s="218"/>
      <c r="AN29" s="306"/>
      <c r="AO29" s="306"/>
      <c r="AP29" s="306"/>
      <c r="AQ29" s="306"/>
      <c r="AR29" s="306"/>
      <c r="AS29" s="356">
        <v>0</v>
      </c>
    </row>
    <row r="30" spans="1:45" s="4284" customFormat="1" ht="18.75" hidden="1" customHeight="1">
      <c r="A30" s="1169"/>
      <c r="B30" s="1169"/>
      <c r="C30" s="1169"/>
      <c r="D30" s="1169"/>
      <c r="E30" s="1169"/>
      <c r="F30" s="1169"/>
      <c r="G30" s="1169"/>
      <c r="H30" s="1169"/>
      <c r="I30" s="1169"/>
      <c r="J30" s="1169"/>
      <c r="K30" s="1169"/>
      <c r="L30" s="1301"/>
      <c r="M30" s="1169"/>
      <c r="N30" s="1169"/>
      <c r="O30" s="1169"/>
      <c r="S30" s="5460" t="s">
        <v>514</v>
      </c>
      <c r="T30" s="5460"/>
      <c r="U30" s="1293"/>
      <c r="V30" s="5461">
        <f>IF(TITLE_DATE_PR_CHANGE="",IF(TITLE_DATE_PR="","",TITLE_DATE_PR),TITLE_DATE_PR_CHANGE)</f>
        <v>45649.605891203704</v>
      </c>
      <c r="W30" s="5461"/>
      <c r="X30" s="5461"/>
      <c r="Y30" s="5461"/>
      <c r="Z30" s="5461"/>
      <c r="AA30" s="5461"/>
      <c r="AB30" s="5461"/>
      <c r="AC30" s="1556"/>
      <c r="AD30" s="5461">
        <f>IF(TITLE_DATE_PR_CHANGE="",IF(TITLE_DATE_PR="","",TITLE_DATE_PR),TITLE_DATE_PR_CHANGE)</f>
        <v>45649.605891203704</v>
      </c>
      <c r="AE30" s="5461"/>
      <c r="AF30" s="5461"/>
      <c r="AG30" s="5461"/>
      <c r="AH30" s="5461"/>
      <c r="AI30" s="5461"/>
      <c r="AJ30" s="5461"/>
      <c r="AK30" s="1556"/>
      <c r="AL30" s="1556"/>
      <c r="AM30" s="218"/>
      <c r="AN30" s="306"/>
      <c r="AO30" s="306"/>
      <c r="AP30" s="306"/>
      <c r="AQ30" s="306"/>
      <c r="AR30" s="306"/>
      <c r="AS30" s="356">
        <v>0</v>
      </c>
    </row>
    <row r="31" spans="1:45" s="4284" customFormat="1" ht="18.75" hidden="1" customHeight="1">
      <c r="A31" s="1169"/>
      <c r="B31" s="1169"/>
      <c r="C31" s="1169"/>
      <c r="D31" s="1169"/>
      <c r="E31" s="1169"/>
      <c r="F31" s="1169"/>
      <c r="G31" s="1169"/>
      <c r="H31" s="1169"/>
      <c r="I31" s="1169"/>
      <c r="J31" s="1169"/>
      <c r="K31" s="1169"/>
      <c r="L31" s="1301"/>
      <c r="M31" s="1169"/>
      <c r="N31" s="1169"/>
      <c r="O31" s="1169"/>
      <c r="S31" s="5460" t="s">
        <v>515</v>
      </c>
      <c r="T31" s="5460"/>
      <c r="U31" s="1293"/>
      <c r="V31" s="5462" t="str">
        <f>IF(TITLE_NUMBER_PR_CHANGE="",IF(TITLE_NUMBER_PR="","",TITLE_NUMBER_PR),TITLE_NUMBER_PR_CHANGE)</f>
        <v>27-6414</v>
      </c>
      <c r="W31" s="5462"/>
      <c r="X31" s="5462"/>
      <c r="Y31" s="5462"/>
      <c r="Z31" s="5462"/>
      <c r="AA31" s="5462"/>
      <c r="AB31" s="5462"/>
      <c r="AC31" s="1556"/>
      <c r="AD31" s="5462" t="str">
        <f>IF(TITLE_NUMBER_PR_CHANGE="",IF(TITLE_NUMBER_PR="","",TITLE_NUMBER_PR),TITLE_NUMBER_PR_CHANGE)</f>
        <v>27-6414</v>
      </c>
      <c r="AE31" s="5462"/>
      <c r="AF31" s="5462"/>
      <c r="AG31" s="5462"/>
      <c r="AH31" s="5462"/>
      <c r="AI31" s="5462"/>
      <c r="AJ31" s="5462"/>
      <c r="AK31" s="1556"/>
      <c r="AL31" s="1556"/>
      <c r="AM31" s="218"/>
      <c r="AN31" s="306"/>
      <c r="AO31" s="306"/>
      <c r="AP31" s="306"/>
      <c r="AQ31" s="306"/>
      <c r="AR31" s="306"/>
      <c r="AS31" s="356">
        <v>0</v>
      </c>
    </row>
    <row r="32" spans="1:45" s="4284" customFormat="1" ht="18.75" hidden="1" customHeight="1">
      <c r="A32" s="1169"/>
      <c r="B32" s="1169"/>
      <c r="C32" s="1169"/>
      <c r="D32" s="1169"/>
      <c r="E32" s="1169"/>
      <c r="F32" s="1169"/>
      <c r="G32" s="1169"/>
      <c r="H32" s="1169"/>
      <c r="I32" s="1169"/>
      <c r="J32" s="1169"/>
      <c r="K32" s="1169"/>
      <c r="L32" s="1301"/>
      <c r="M32" s="1169"/>
      <c r="N32" s="1169"/>
      <c r="O32" s="1169"/>
      <c r="S32" s="5460" t="s">
        <v>43</v>
      </c>
      <c r="T32" s="5460"/>
      <c r="U32" s="1293"/>
      <c r="V32" s="5462" t="str">
        <f>IF(TITLE_IST_PUB_CHANGE="",IF(TITLE_IST_PUB="","",TITLE_IST_PUB),TITLE_IST_PUB_CHANGE)</f>
        <v/>
      </c>
      <c r="W32" s="5462"/>
      <c r="X32" s="5462"/>
      <c r="Y32" s="5462"/>
      <c r="Z32" s="5462"/>
      <c r="AA32" s="5462"/>
      <c r="AB32" s="5462"/>
      <c r="AC32" s="1556"/>
      <c r="AD32" s="5462" t="str">
        <f>IF(TITLE_IST_PUB_CHANGE="",IF(TITLE_IST_PUB="","",TITLE_IST_PUB),TITLE_IST_PUB_CHANGE)</f>
        <v/>
      </c>
      <c r="AE32" s="5462"/>
      <c r="AF32" s="5462"/>
      <c r="AG32" s="5462"/>
      <c r="AH32" s="5462"/>
      <c r="AI32" s="5462"/>
      <c r="AJ32" s="5462"/>
      <c r="AK32" s="1556"/>
      <c r="AL32" s="1556"/>
      <c r="AM32" s="218"/>
      <c r="AN32" s="306"/>
      <c r="AO32" s="306"/>
      <c r="AP32" s="306"/>
      <c r="AQ32" s="306"/>
      <c r="AR32" s="306"/>
      <c r="AS32" s="356">
        <v>0</v>
      </c>
    </row>
    <row r="33" spans="1:45" ht="14.25" hidden="1" customHeight="1">
      <c r="Q33" s="314"/>
      <c r="R33" s="314"/>
      <c r="S33" s="1196"/>
      <c r="T33" s="395"/>
      <c r="U33" s="395"/>
      <c r="V33" s="260"/>
      <c r="W33" s="260"/>
      <c r="X33" s="260"/>
      <c r="Y33" s="260"/>
      <c r="Z33" s="260"/>
      <c r="AA33" s="260"/>
      <c r="AB33" s="260"/>
      <c r="AC33" s="260"/>
      <c r="AD33" s="260"/>
      <c r="AE33" s="260"/>
      <c r="AF33" s="260"/>
      <c r="AG33" s="260"/>
      <c r="AH33" s="260"/>
      <c r="AI33" s="260"/>
      <c r="AJ33" s="260"/>
      <c r="AK33" s="260"/>
      <c r="AL33" s="1556"/>
      <c r="AS33" s="1552">
        <v>0</v>
      </c>
    </row>
    <row r="34" spans="1:45" s="4284" customFormat="1" ht="18.75" hidden="1" customHeight="1">
      <c r="A34" s="1169"/>
      <c r="B34" s="1169"/>
      <c r="C34" s="1169"/>
      <c r="D34" s="1169"/>
      <c r="E34" s="1169"/>
      <c r="F34" s="1169"/>
      <c r="G34" s="1169"/>
      <c r="H34" s="1169"/>
      <c r="I34" s="1169"/>
      <c r="J34" s="1169"/>
      <c r="K34" s="1169"/>
      <c r="L34" s="1301"/>
      <c r="M34" s="1169"/>
      <c r="N34" s="1169"/>
      <c r="O34" s="1169"/>
      <c r="S34" s="5460" t="s">
        <v>516</v>
      </c>
      <c r="T34" s="5460"/>
      <c r="U34" s="1293"/>
      <c r="V34" s="5461">
        <f>IF(TITLE_DATE_PR_CHANGE="",IF(TITLE_DATE_PR="","",TITLE_DATE_PR),TITLE_DATE_PR_CHANGE)</f>
        <v>45649.605891203704</v>
      </c>
      <c r="W34" s="5461"/>
      <c r="X34" s="5461"/>
      <c r="Y34" s="5461"/>
      <c r="Z34" s="5461"/>
      <c r="AA34" s="5461"/>
      <c r="AB34" s="5461"/>
      <c r="AC34" s="1556"/>
      <c r="AD34" s="5461">
        <f>IF(TITLE_DATE_PR_CHANGE="",IF(TITLE_DATE_PR="","",TITLE_DATE_PR),TITLE_DATE_PR_CHANGE)</f>
        <v>45649.605891203704</v>
      </c>
      <c r="AE34" s="5461"/>
      <c r="AF34" s="5461"/>
      <c r="AG34" s="5461"/>
      <c r="AH34" s="5461"/>
      <c r="AI34" s="5461"/>
      <c r="AJ34" s="5461"/>
      <c r="AK34" s="1556"/>
      <c r="AL34" s="1556"/>
      <c r="AM34" s="218"/>
      <c r="AN34" s="306"/>
      <c r="AO34" s="306"/>
      <c r="AP34" s="306"/>
      <c r="AQ34" s="306"/>
      <c r="AR34" s="306"/>
      <c r="AS34" s="356">
        <v>0</v>
      </c>
    </row>
    <row r="35" spans="1:45" s="4284" customFormat="1" ht="18.75" hidden="1" customHeight="1">
      <c r="A35" s="1169"/>
      <c r="B35" s="1169"/>
      <c r="C35" s="1169"/>
      <c r="D35" s="1169"/>
      <c r="E35" s="1169"/>
      <c r="F35" s="1169"/>
      <c r="G35" s="1169"/>
      <c r="H35" s="1169"/>
      <c r="I35" s="1169"/>
      <c r="J35" s="1169"/>
      <c r="K35" s="1169"/>
      <c r="L35" s="1301"/>
      <c r="M35" s="1169"/>
      <c r="N35" s="1169"/>
      <c r="O35" s="1169"/>
      <c r="S35" s="5460" t="s">
        <v>517</v>
      </c>
      <c r="T35" s="5460"/>
      <c r="U35" s="1293"/>
      <c r="V35" s="5462" t="str">
        <f>IF(TITLE_NUMBER_PR_CHANGE="",IF(TITLE_NUMBER_PR="","",TITLE_NUMBER_PR),TITLE_NUMBER_PR_CHANGE)</f>
        <v>27-6414</v>
      </c>
      <c r="W35" s="5462"/>
      <c r="X35" s="5462"/>
      <c r="Y35" s="5462"/>
      <c r="Z35" s="5462"/>
      <c r="AA35" s="5462"/>
      <c r="AB35" s="5462"/>
      <c r="AC35" s="1556"/>
      <c r="AD35" s="5462" t="str">
        <f>IF(TITLE_NUMBER_PR_CHANGE="",IF(TITLE_NUMBER_PR="","",TITLE_NUMBER_PR),TITLE_NUMBER_PR_CHANGE)</f>
        <v>27-6414</v>
      </c>
      <c r="AE35" s="5462"/>
      <c r="AF35" s="5462"/>
      <c r="AG35" s="5462"/>
      <c r="AH35" s="5462"/>
      <c r="AI35" s="5462"/>
      <c r="AJ35" s="5462"/>
      <c r="AK35" s="1556"/>
      <c r="AL35" s="1556"/>
      <c r="AM35" s="218"/>
      <c r="AN35" s="306"/>
      <c r="AO35" s="306"/>
      <c r="AP35" s="306"/>
      <c r="AQ35" s="306"/>
      <c r="AR35" s="306"/>
      <c r="AS35" s="356">
        <v>0</v>
      </c>
    </row>
    <row r="36" spans="1:45" s="4284" customFormat="1" ht="0" hidden="1" customHeight="1">
      <c r="A36" s="1169"/>
      <c r="B36" s="1169"/>
      <c r="C36" s="1169"/>
      <c r="D36" s="1169"/>
      <c r="E36" s="1169"/>
      <c r="F36" s="1169"/>
      <c r="G36" s="1169"/>
      <c r="H36" s="1169"/>
      <c r="I36" s="1169"/>
      <c r="J36" s="1169"/>
      <c r="K36" s="1169"/>
      <c r="L36" s="1301"/>
      <c r="M36" s="1169"/>
      <c r="N36" s="1169"/>
      <c r="O36" s="1169"/>
      <c r="S36" s="1556"/>
      <c r="T36" s="1556"/>
      <c r="U36" s="1885"/>
      <c r="V36" s="1556"/>
      <c r="W36" s="1556"/>
      <c r="X36" s="1556"/>
      <c r="Y36" s="1556"/>
      <c r="Z36" s="1556"/>
      <c r="AA36" s="1556"/>
      <c r="AB36" s="1556"/>
      <c r="AC36" s="1563" t="s">
        <v>518</v>
      </c>
      <c r="AD36" s="1556"/>
      <c r="AE36" s="1556"/>
      <c r="AF36" s="1556"/>
      <c r="AG36" s="1556"/>
      <c r="AH36" s="1556"/>
      <c r="AI36" s="1556"/>
      <c r="AJ36" s="1556"/>
      <c r="AK36" s="1563" t="s">
        <v>518</v>
      </c>
      <c r="AN36" s="306"/>
      <c r="AO36" s="306"/>
      <c r="AP36" s="306"/>
      <c r="AQ36" s="306"/>
      <c r="AR36" s="306"/>
      <c r="AS36" s="356">
        <v>0</v>
      </c>
    </row>
    <row r="37" spans="1:45" ht="14.65" customHeight="1">
      <c r="Q37" s="314"/>
      <c r="R37" s="314"/>
      <c r="S37" s="1196"/>
      <c r="T37" s="395"/>
      <c r="U37" s="1165"/>
      <c r="V37" s="5481"/>
      <c r="W37" s="5481"/>
      <c r="X37" s="5481"/>
      <c r="Y37" s="5481"/>
      <c r="Z37" s="5481"/>
      <c r="AA37" s="5481"/>
      <c r="AB37" s="5481"/>
      <c r="AC37" s="5481"/>
      <c r="AD37" s="5481"/>
      <c r="AE37" s="5481"/>
      <c r="AF37" s="5481"/>
      <c r="AG37" s="5481"/>
      <c r="AH37" s="5481"/>
      <c r="AI37" s="5481"/>
      <c r="AJ37" s="5481"/>
      <c r="AK37" s="5481"/>
      <c r="AS37" s="1552">
        <v>14</v>
      </c>
    </row>
    <row r="38" spans="1:45" ht="14.65" customHeight="1">
      <c r="Q38" s="314"/>
      <c r="R38" s="314"/>
      <c r="S38" s="5328" t="s">
        <v>393</v>
      </c>
      <c r="T38" s="5328"/>
      <c r="U38" s="5328"/>
      <c r="V38" s="5328"/>
      <c r="W38" s="5328"/>
      <c r="X38" s="5328"/>
      <c r="Y38" s="5328"/>
      <c r="Z38" s="5328"/>
      <c r="AA38" s="5328"/>
      <c r="AB38" s="5328"/>
      <c r="AC38" s="5328"/>
      <c r="AD38" s="5328"/>
      <c r="AE38" s="5328"/>
      <c r="AF38" s="5328"/>
      <c r="AG38" s="5328"/>
      <c r="AH38" s="5328"/>
      <c r="AI38" s="5328"/>
      <c r="AJ38" s="5328"/>
      <c r="AK38" s="5328"/>
      <c r="AL38" s="5328"/>
      <c r="AM38" s="5328" t="s">
        <v>394</v>
      </c>
      <c r="AS38" s="1552">
        <v>14</v>
      </c>
    </row>
    <row r="39" spans="1:45" ht="14.65" customHeight="1">
      <c r="Q39" s="314"/>
      <c r="R39" s="314"/>
      <c r="S39" s="5482" t="s">
        <v>88</v>
      </c>
      <c r="T39" s="5431" t="s">
        <v>519</v>
      </c>
      <c r="U39" s="275"/>
      <c r="V39" s="5483" t="s">
        <v>520</v>
      </c>
      <c r="W39" s="5484"/>
      <c r="X39" s="5484"/>
      <c r="Y39" s="5484"/>
      <c r="Z39" s="5484"/>
      <c r="AA39" s="5484"/>
      <c r="AB39" s="5485"/>
      <c r="AC39" s="5486" t="s">
        <v>521</v>
      </c>
      <c r="AD39" s="5483" t="s">
        <v>520</v>
      </c>
      <c r="AE39" s="5484"/>
      <c r="AF39" s="5484"/>
      <c r="AG39" s="5484"/>
      <c r="AH39" s="5484"/>
      <c r="AI39" s="5484"/>
      <c r="AJ39" s="5485"/>
      <c r="AK39" s="5486" t="s">
        <v>522</v>
      </c>
      <c r="AL39" s="5489" t="s">
        <v>523</v>
      </c>
      <c r="AM39" s="5328"/>
      <c r="AS39" s="1552">
        <v>14</v>
      </c>
    </row>
    <row r="40" spans="1:45" ht="35.65" customHeight="1">
      <c r="Q40" s="314"/>
      <c r="R40" s="314"/>
      <c r="S40" s="5482"/>
      <c r="T40" s="5431"/>
      <c r="U40" s="956"/>
      <c r="V40" s="5403" t="s">
        <v>524</v>
      </c>
      <c r="W40" s="5478" t="s">
        <v>525</v>
      </c>
      <c r="X40" s="5309" t="s">
        <v>526</v>
      </c>
      <c r="Y40" s="5308"/>
      <c r="Z40" s="5309" t="s">
        <v>539</v>
      </c>
      <c r="AA40" s="5314"/>
      <c r="AB40" s="5308"/>
      <c r="AC40" s="5487"/>
      <c r="AD40" s="5403" t="s">
        <v>524</v>
      </c>
      <c r="AE40" s="5478" t="s">
        <v>525</v>
      </c>
      <c r="AF40" s="5309" t="s">
        <v>526</v>
      </c>
      <c r="AG40" s="5308"/>
      <c r="AH40" s="5309" t="s">
        <v>527</v>
      </c>
      <c r="AI40" s="5314"/>
      <c r="AJ40" s="5308"/>
      <c r="AK40" s="5487"/>
      <c r="AL40" s="5490"/>
      <c r="AM40" s="5328"/>
      <c r="AS40" s="1552">
        <v>34</v>
      </c>
    </row>
    <row r="41" spans="1:45" ht="35.65" customHeight="1">
      <c r="A41" s="1187"/>
      <c r="B41" s="1187" t="s">
        <v>167</v>
      </c>
      <c r="C41" s="1187" t="s">
        <v>168</v>
      </c>
      <c r="D41" s="1187" t="s">
        <v>169</v>
      </c>
      <c r="E41" s="1231" t="s">
        <v>528</v>
      </c>
      <c r="F41" s="1231" t="s">
        <v>529</v>
      </c>
      <c r="G41" s="1231" t="s">
        <v>530</v>
      </c>
      <c r="H41" s="1231" t="s">
        <v>531</v>
      </c>
      <c r="I41" s="1231" t="s">
        <v>532</v>
      </c>
      <c r="J41" s="1231" t="s">
        <v>533</v>
      </c>
      <c r="K41" s="1231" t="s">
        <v>534</v>
      </c>
      <c r="L41" s="1231" t="s">
        <v>509</v>
      </c>
      <c r="Q41" s="314"/>
      <c r="R41" s="314"/>
      <c r="S41" s="5482"/>
      <c r="T41" s="5431"/>
      <c r="U41" s="240"/>
      <c r="V41" s="5455"/>
      <c r="W41" s="5479"/>
      <c r="X41" s="1853" t="s">
        <v>535</v>
      </c>
      <c r="Y41" s="1853" t="s">
        <v>536</v>
      </c>
      <c r="Z41" s="1853" t="s">
        <v>537</v>
      </c>
      <c r="AA41" s="5436" t="s">
        <v>538</v>
      </c>
      <c r="AB41" s="5449"/>
      <c r="AC41" s="5488"/>
      <c r="AD41" s="5455"/>
      <c r="AE41" s="5479"/>
      <c r="AF41" s="1853" t="s">
        <v>535</v>
      </c>
      <c r="AG41" s="1853" t="s">
        <v>536</v>
      </c>
      <c r="AH41" s="1853" t="s">
        <v>537</v>
      </c>
      <c r="AI41" s="5436" t="s">
        <v>538</v>
      </c>
      <c r="AJ41" s="5449"/>
      <c r="AK41" s="5488"/>
      <c r="AL41" s="5491"/>
      <c r="AM41" s="5328"/>
      <c r="AS41" s="1552">
        <v>34</v>
      </c>
    </row>
    <row r="42" spans="1:45" s="4299" customFormat="1" ht="11.25" hidden="1" customHeight="1">
      <c r="A42" s="1187"/>
      <c r="B42" s="1187"/>
      <c r="C42" s="1187"/>
      <c r="D42" s="1187"/>
      <c r="E42" s="1187"/>
      <c r="F42" s="1187"/>
      <c r="G42" s="1187"/>
      <c r="H42" s="1187"/>
      <c r="I42" s="1187"/>
      <c r="J42" s="1187"/>
      <c r="K42" s="1187"/>
      <c r="L42" s="1231"/>
      <c r="M42" s="1880"/>
      <c r="N42" s="1880"/>
      <c r="O42" s="1880"/>
      <c r="P42" s="1167"/>
      <c r="Q42" s="1168"/>
      <c r="R42" s="1175">
        <v>1</v>
      </c>
      <c r="S42" s="1198" t="s">
        <v>136</v>
      </c>
      <c r="T42" s="1176" t="s">
        <v>103</v>
      </c>
      <c r="U42" s="1166" t="str">
        <f ca="1">OFFSET(U42,0,-1)</f>
        <v>2</v>
      </c>
      <c r="V42" s="1871">
        <f ca="1">OFFSET(V42,0,-1)+1</f>
        <v>3</v>
      </c>
      <c r="W42" s="1871"/>
      <c r="X42" s="1871">
        <f ca="1">OFFSET(X42,0,-1)+1</f>
        <v>1</v>
      </c>
      <c r="Y42" s="1871">
        <f ca="1">OFFSET(Y42,0,-1)+1</f>
        <v>2</v>
      </c>
      <c r="Z42" s="1871">
        <f ca="1">OFFSET(Z42,0,-1)+1</f>
        <v>3</v>
      </c>
      <c r="AA42" s="5480">
        <f ca="1">OFFSET(AA42,0,-1)+1</f>
        <v>4</v>
      </c>
      <c r="AB42" s="5480"/>
      <c r="AC42" s="1871">
        <f ca="1">OFFSET(AC42,0,-2)+1</f>
        <v>5</v>
      </c>
      <c r="AD42" s="1871">
        <f ca="1">OFFSET(AD42,0,-1)+1</f>
        <v>6</v>
      </c>
      <c r="AE42" s="1871"/>
      <c r="AF42" s="1871">
        <f ca="1">OFFSET(AF42,0,-1)+1</f>
        <v>1</v>
      </c>
      <c r="AG42" s="1871">
        <f ca="1">OFFSET(AG42,0,-1)+1</f>
        <v>2</v>
      </c>
      <c r="AH42" s="1871">
        <f ca="1">OFFSET(AH42,0,-1)+1</f>
        <v>3</v>
      </c>
      <c r="AI42" s="5480">
        <f ca="1">OFFSET(AI42,0,-1)+1</f>
        <v>4</v>
      </c>
      <c r="AJ42" s="5480"/>
      <c r="AK42" s="1871">
        <f ca="1">OFFSET(AK42,0,-2)+1</f>
        <v>5</v>
      </c>
      <c r="AL42" s="1166">
        <f ca="1">OFFSET(AL42,0,-1)</f>
        <v>5</v>
      </c>
      <c r="AM42" s="1871">
        <f ca="1">OFFSET(AM42,0,-1)+1</f>
        <v>6</v>
      </c>
      <c r="AN42" s="1557"/>
      <c r="AO42" s="1557"/>
      <c r="AP42" s="1557"/>
      <c r="AQ42" s="1557"/>
      <c r="AR42" s="1557"/>
      <c r="AS42" s="1562">
        <v>0</v>
      </c>
    </row>
    <row r="43" spans="1:45" ht="21.95" customHeight="1">
      <c r="A43" s="1188" t="s">
        <v>241</v>
      </c>
      <c r="B43" s="1188"/>
      <c r="C43" s="1188"/>
      <c r="D43" s="1188"/>
      <c r="E43" s="5495">
        <v>1</v>
      </c>
      <c r="F43" s="1188"/>
      <c r="G43" s="1188"/>
      <c r="H43" s="1188"/>
      <c r="I43" s="1188"/>
      <c r="J43" s="1188"/>
      <c r="K43" s="1188"/>
      <c r="L43" s="1231"/>
      <c r="M43" s="1531"/>
      <c r="N43" s="1531"/>
      <c r="O43" s="1531"/>
      <c r="P43" s="1511"/>
      <c r="Q43" s="298"/>
      <c r="R43" s="293"/>
      <c r="S43" s="1873">
        <f>INDEX(PT_DIFFERENTIATION_NUM_NTAR,MATCH(A43,PT_DIFFERENTIATION_NTAR_ID,0))</f>
        <v>0</v>
      </c>
      <c r="T43" s="1446" t="s">
        <v>155</v>
      </c>
      <c r="U43" s="238"/>
      <c r="V43" s="5463"/>
      <c r="W43" s="5464"/>
      <c r="X43" s="5464"/>
      <c r="Y43" s="5464"/>
      <c r="Z43" s="5464"/>
      <c r="AA43" s="5464"/>
      <c r="AB43" s="5464"/>
      <c r="AC43" s="5465"/>
      <c r="AD43" s="5463" t="str">
        <f>INDEX(PT_DIFFERENTIATION_NTAR,MATCH(A43,PT_DIFFERENTIATION_NTAR_ID,0))</f>
        <v/>
      </c>
      <c r="AE43" s="5464"/>
      <c r="AF43" s="5464"/>
      <c r="AG43" s="5464"/>
      <c r="AH43" s="5464"/>
      <c r="AI43" s="5464"/>
      <c r="AJ43" s="5464"/>
      <c r="AK43" s="5464"/>
      <c r="AL43" s="5465"/>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5"/>
      <c r="AP43" s="1545" t="str">
        <f t="shared" ref="AP43:AP57" si="1">IF(T43="","",T43)</f>
        <v>Наименование тарифа</v>
      </c>
      <c r="AQ43" s="1545"/>
      <c r="AR43" s="1545"/>
      <c r="AS43" s="1552">
        <v>21</v>
      </c>
    </row>
    <row r="44" spans="1:45" ht="21.95" customHeight="1">
      <c r="A44" s="1188" t="s">
        <v>241</v>
      </c>
      <c r="B44" s="1188" t="s">
        <v>242</v>
      </c>
      <c r="C44" s="1188"/>
      <c r="D44" s="1188"/>
      <c r="E44" s="5496"/>
      <c r="F44" s="5495">
        <v>1</v>
      </c>
      <c r="G44" s="1188"/>
      <c r="H44" s="1188"/>
      <c r="I44" s="1188"/>
      <c r="J44" s="1188"/>
      <c r="K44" s="1188"/>
      <c r="L44" s="1231"/>
      <c r="M44" s="1531"/>
      <c r="N44" s="1531"/>
      <c r="O44" s="1531"/>
      <c r="P44" s="1855"/>
      <c r="Q44" s="290"/>
      <c r="R44" s="291"/>
      <c r="S44" s="1873" t="str">
        <f>INDEX(PT_DIFFERENTIATION_NUM_TER,MATCH(B44,PT_DIFFERENTIATION_TER_ID,0))</f>
        <v>.</v>
      </c>
      <c r="T44" s="1443" t="s">
        <v>490</v>
      </c>
      <c r="U44" s="238"/>
      <c r="V44" s="5463"/>
      <c r="W44" s="5464"/>
      <c r="X44" s="5464"/>
      <c r="Y44" s="5464"/>
      <c r="Z44" s="5464"/>
      <c r="AA44" s="5464"/>
      <c r="AB44" s="5464"/>
      <c r="AC44" s="5465"/>
      <c r="AD44" s="5463" t="str">
        <f>INDEX(PT_DIFFERENTIATION_TER,MATCH(B44,PT_DIFFERENTIATION_TER_ID,0))</f>
        <v/>
      </c>
      <c r="AE44" s="5464"/>
      <c r="AF44" s="5464"/>
      <c r="AG44" s="5464"/>
      <c r="AH44" s="5464"/>
      <c r="AI44" s="5464"/>
      <c r="AJ44" s="5464"/>
      <c r="AK44" s="5464"/>
      <c r="AL44" s="5465"/>
      <c r="AM44" s="1179" t="s">
        <v>491</v>
      </c>
      <c r="AO44" s="1545"/>
      <c r="AP44" s="1545" t="str">
        <f t="shared" si="1"/>
        <v>Территория действия тарифа</v>
      </c>
      <c r="AQ44" s="1545"/>
      <c r="AR44" s="1545"/>
      <c r="AS44" s="1552">
        <v>21</v>
      </c>
    </row>
    <row r="45" spans="1:45" ht="24" customHeight="1">
      <c r="A45" s="1188" t="s">
        <v>241</v>
      </c>
      <c r="B45" s="1188" t="s">
        <v>242</v>
      </c>
      <c r="C45" s="1188" t="s">
        <v>243</v>
      </c>
      <c r="D45" s="1188"/>
      <c r="E45" s="5496"/>
      <c r="F45" s="5496"/>
      <c r="G45" s="5495">
        <v>1</v>
      </c>
      <c r="H45" s="1188"/>
      <c r="I45" s="1188"/>
      <c r="J45" s="1188"/>
      <c r="K45" s="1188"/>
      <c r="L45" s="1231"/>
      <c r="M45" s="1531"/>
      <c r="N45" s="1531"/>
      <c r="O45" s="1531"/>
      <c r="P45" s="292"/>
      <c r="Q45" s="290"/>
      <c r="R45" s="291"/>
      <c r="S45" s="1873" t="str">
        <f>INDEX(PT_DIFFERENTIATION_NUM_CS,MATCH(C45,PT_DIFFERENTIATION_CS_ID,0))</f>
        <v>..</v>
      </c>
      <c r="T45" s="247" t="s">
        <v>492</v>
      </c>
      <c r="U45" s="238"/>
      <c r="V45" s="5463"/>
      <c r="W45" s="5464"/>
      <c r="X45" s="5464"/>
      <c r="Y45" s="5464"/>
      <c r="Z45" s="5464"/>
      <c r="AA45" s="5464"/>
      <c r="AB45" s="5464"/>
      <c r="AC45" s="5465"/>
      <c r="AD45" s="5463" t="str">
        <f>INDEX(PT_DIFFERENTIATION_CS,MATCH(C45,PT_DIFFERENTIATION_CS_ID,0))</f>
        <v/>
      </c>
      <c r="AE45" s="5464"/>
      <c r="AF45" s="5464"/>
      <c r="AG45" s="5464"/>
      <c r="AH45" s="5464"/>
      <c r="AI45" s="5464"/>
      <c r="AJ45" s="5464"/>
      <c r="AK45" s="5464"/>
      <c r="AL45" s="5465"/>
      <c r="AM45" s="1179" t="s">
        <v>493</v>
      </c>
      <c r="AO45" s="1545"/>
      <c r="AP45" s="1545" t="str">
        <f t="shared" si="1"/>
        <v xml:space="preserve">Наименование системы теплоснабжения </v>
      </c>
      <c r="AQ45" s="1545"/>
      <c r="AR45" s="1545"/>
      <c r="AS45" s="1552">
        <v>23</v>
      </c>
    </row>
    <row r="46" spans="1:45" ht="21.95" customHeight="1">
      <c r="A46" s="1188" t="s">
        <v>241</v>
      </c>
      <c r="B46" s="1188" t="s">
        <v>242</v>
      </c>
      <c r="C46" s="1188" t="s">
        <v>243</v>
      </c>
      <c r="D46" s="1188" t="s">
        <v>244</v>
      </c>
      <c r="E46" s="5496"/>
      <c r="F46" s="5496"/>
      <c r="G46" s="5496"/>
      <c r="H46" s="5495">
        <v>1</v>
      </c>
      <c r="I46" s="1188"/>
      <c r="J46" s="1188"/>
      <c r="K46" s="1188"/>
      <c r="L46" s="1231"/>
      <c r="M46" s="1531"/>
      <c r="N46" s="1531"/>
      <c r="O46" s="1531"/>
      <c r="P46" s="292"/>
      <c r="Q46" s="290"/>
      <c r="R46" s="291"/>
      <c r="S46" s="1873" t="str">
        <f>INDEX(PT_DIFFERENTIATION_NUM_IST_TE,MATCH(D46,PT_DIFFERENTIATION_IST_TE_ID,0))</f>
        <v>...</v>
      </c>
      <c r="T46" s="248" t="s">
        <v>494</v>
      </c>
      <c r="U46" s="238"/>
      <c r="V46" s="5463"/>
      <c r="W46" s="5464"/>
      <c r="X46" s="5464"/>
      <c r="Y46" s="5464"/>
      <c r="Z46" s="5464"/>
      <c r="AA46" s="5464"/>
      <c r="AB46" s="5464"/>
      <c r="AC46" s="5465"/>
      <c r="AD46" s="5463" t="str">
        <f>INDEX(PT_DIFFERENTIATION_IST_TE,MATCH(D46,PT_DIFFERENTIATION_IST_TE_ID,0))</f>
        <v/>
      </c>
      <c r="AE46" s="5464"/>
      <c r="AF46" s="5464"/>
      <c r="AG46" s="5464"/>
      <c r="AH46" s="5464"/>
      <c r="AI46" s="5464"/>
      <c r="AJ46" s="5464"/>
      <c r="AK46" s="5464"/>
      <c r="AL46" s="5465"/>
      <c r="AM46" s="1179" t="s">
        <v>495</v>
      </c>
      <c r="AO46" s="1545"/>
      <c r="AP46" s="1545" t="str">
        <f t="shared" si="1"/>
        <v xml:space="preserve">Источник тепловой энергии  </v>
      </c>
      <c r="AQ46" s="1545"/>
      <c r="AR46" s="1545"/>
      <c r="AS46" s="1552">
        <v>21</v>
      </c>
    </row>
    <row r="47" spans="1:45" ht="49.5" customHeight="1">
      <c r="A47" s="1188" t="s">
        <v>241</v>
      </c>
      <c r="B47" s="1188" t="s">
        <v>242</v>
      </c>
      <c r="C47" s="1188" t="s">
        <v>243</v>
      </c>
      <c r="D47" s="1188" t="s">
        <v>244</v>
      </c>
      <c r="E47" s="5496"/>
      <c r="F47" s="5496"/>
      <c r="G47" s="5496"/>
      <c r="H47" s="5496"/>
      <c r="I47" s="5328" t="str">
        <f>S46&amp;".1"</f>
        <v>....1</v>
      </c>
      <c r="J47" s="1188"/>
      <c r="K47" s="1188"/>
      <c r="L47" s="1231" t="s">
        <v>496</v>
      </c>
      <c r="P47" s="5473">
        <v>1</v>
      </c>
      <c r="Q47" s="1869"/>
      <c r="R47" s="294"/>
      <c r="S47" s="1873" t="str">
        <f>$I47</f>
        <v>....1</v>
      </c>
      <c r="T47" s="223" t="s">
        <v>497</v>
      </c>
      <c r="U47" s="238"/>
      <c r="V47" s="5457"/>
      <c r="W47" s="5458"/>
      <c r="X47" s="5458"/>
      <c r="Y47" s="5458"/>
      <c r="Z47" s="5458"/>
      <c r="AA47" s="5458"/>
      <c r="AB47" s="5458"/>
      <c r="AC47" s="5459"/>
      <c r="AD47" s="5457"/>
      <c r="AE47" s="5458"/>
      <c r="AF47" s="5458"/>
      <c r="AG47" s="5458"/>
      <c r="AH47" s="5458"/>
      <c r="AI47" s="5458"/>
      <c r="AJ47" s="5458"/>
      <c r="AK47" s="5458"/>
      <c r="AL47" s="5459"/>
      <c r="AM47" s="1179" t="s">
        <v>498</v>
      </c>
      <c r="AO47" s="1545"/>
      <c r="AP47" s="1545" t="str">
        <f t="shared" si="1"/>
        <v>Схема подключения теплопотребляющей установки к коллектору источника тепловой энергии</v>
      </c>
      <c r="AQ47" s="1545"/>
      <c r="AR47" s="1545"/>
      <c r="AS47" s="1552">
        <v>47</v>
      </c>
    </row>
    <row r="48" spans="1:45" ht="21.95" customHeight="1">
      <c r="A48" s="1188" t="s">
        <v>241</v>
      </c>
      <c r="B48" s="1188" t="s">
        <v>242</v>
      </c>
      <c r="C48" s="1188" t="s">
        <v>243</v>
      </c>
      <c r="D48" s="1188" t="s">
        <v>244</v>
      </c>
      <c r="E48" s="5496"/>
      <c r="F48" s="5496"/>
      <c r="G48" s="5496"/>
      <c r="H48" s="5496"/>
      <c r="I48" s="5309"/>
      <c r="J48" s="5328" t="str">
        <f>I47&amp;".1"</f>
        <v>....1.1</v>
      </c>
      <c r="K48" s="1188"/>
      <c r="L48" s="1231" t="s">
        <v>499</v>
      </c>
      <c r="P48" s="5473"/>
      <c r="Q48" s="5473">
        <v>1</v>
      </c>
      <c r="R48" s="295"/>
      <c r="S48" s="1873" t="str">
        <f>$J48</f>
        <v>....1.1</v>
      </c>
      <c r="T48" s="224" t="s">
        <v>500</v>
      </c>
      <c r="U48" s="238"/>
      <c r="V48" s="5457"/>
      <c r="W48" s="5458"/>
      <c r="X48" s="5458"/>
      <c r="Y48" s="5458"/>
      <c r="Z48" s="5458"/>
      <c r="AA48" s="5458"/>
      <c r="AB48" s="5458"/>
      <c r="AC48" s="5459"/>
      <c r="AD48" s="5457"/>
      <c r="AE48" s="5458"/>
      <c r="AF48" s="5458"/>
      <c r="AG48" s="5458"/>
      <c r="AH48" s="5458"/>
      <c r="AI48" s="5458"/>
      <c r="AJ48" s="5458"/>
      <c r="AK48" s="5458"/>
      <c r="AL48" s="5459"/>
      <c r="AM48" s="1179" t="s">
        <v>501</v>
      </c>
      <c r="AO48" s="1545"/>
      <c r="AP48" s="1545" t="str">
        <f t="shared" si="1"/>
        <v>Группа потребителей</v>
      </c>
      <c r="AQ48" s="1545"/>
      <c r="AR48" s="1545"/>
      <c r="AS48" s="1552">
        <v>21</v>
      </c>
    </row>
    <row r="49" spans="1:45" ht="21.95" customHeight="1">
      <c r="A49" s="1188" t="s">
        <v>241</v>
      </c>
      <c r="B49" s="1188" t="s">
        <v>242</v>
      </c>
      <c r="C49" s="1188" t="s">
        <v>243</v>
      </c>
      <c r="D49" s="1188" t="s">
        <v>244</v>
      </c>
      <c r="E49" s="5496"/>
      <c r="F49" s="5496"/>
      <c r="G49" s="5496"/>
      <c r="H49" s="5496"/>
      <c r="I49" s="5309"/>
      <c r="J49" s="5309"/>
      <c r="K49" s="5328" t="str">
        <f>J48&amp;".1"</f>
        <v>....1.1.1</v>
      </c>
      <c r="L49" s="1231" t="s">
        <v>502</v>
      </c>
      <c r="P49" s="5473"/>
      <c r="Q49" s="5473"/>
      <c r="R49" s="295">
        <v>1</v>
      </c>
      <c r="S49" s="1873" t="str">
        <f>$K49</f>
        <v>....1.1.1</v>
      </c>
      <c r="T49" s="1268"/>
      <c r="U49" s="238"/>
      <c r="V49" s="689"/>
      <c r="W49" s="263"/>
      <c r="X49" s="689"/>
      <c r="Y49" s="1178"/>
      <c r="Z49" s="5474"/>
      <c r="AA49" s="5338" t="s">
        <v>66</v>
      </c>
      <c r="AB49" s="5474"/>
      <c r="AC49" s="5338" t="s">
        <v>66</v>
      </c>
      <c r="AD49" s="689"/>
      <c r="AE49" s="263"/>
      <c r="AF49" s="689"/>
      <c r="AG49" s="1178"/>
      <c r="AH49" s="5474"/>
      <c r="AI49" s="5338" t="s">
        <v>66</v>
      </c>
      <c r="AJ49" s="5476"/>
      <c r="AK49" s="5338" t="s">
        <v>66</v>
      </c>
      <c r="AL49" s="1269"/>
      <c r="AM49" s="5492" t="s">
        <v>503</v>
      </c>
      <c r="AN49" s="1557" t="e">
        <f ca="1">STRCHECKDATE(V50:AL50)</f>
        <v>#NAME?</v>
      </c>
      <c r="AO49" s="1545"/>
      <c r="AP49" s="1545" t="str">
        <f t="shared" si="1"/>
        <v/>
      </c>
      <c r="AQ49" s="1545"/>
      <c r="AR49" s="1545"/>
      <c r="AS49" s="1552">
        <v>21</v>
      </c>
    </row>
    <row r="50" spans="1:45" ht="1.1499999999999999" customHeight="1">
      <c r="A50" s="1188" t="s">
        <v>241</v>
      </c>
      <c r="B50" s="1188" t="s">
        <v>242</v>
      </c>
      <c r="C50" s="1188" t="s">
        <v>243</v>
      </c>
      <c r="D50" s="1188" t="s">
        <v>244</v>
      </c>
      <c r="E50" s="5496"/>
      <c r="F50" s="5496"/>
      <c r="G50" s="5496"/>
      <c r="H50" s="5496"/>
      <c r="I50" s="5309"/>
      <c r="J50" s="5309"/>
      <c r="K50" s="5328"/>
      <c r="L50" s="1231"/>
      <c r="P50" s="5473"/>
      <c r="Q50" s="5473"/>
      <c r="R50" s="295"/>
      <c r="S50" s="1882"/>
      <c r="T50" s="238"/>
      <c r="U50" s="238"/>
      <c r="V50" s="263"/>
      <c r="W50" s="263"/>
      <c r="X50" s="263"/>
      <c r="Y50" s="266" t="str">
        <f>Z49&amp;"-"&amp;AB49</f>
        <v>-</v>
      </c>
      <c r="Z50" s="5475"/>
      <c r="AA50" s="5338"/>
      <c r="AB50" s="5475"/>
      <c r="AC50" s="5338"/>
      <c r="AD50" s="263"/>
      <c r="AE50" s="263"/>
      <c r="AF50" s="263"/>
      <c r="AG50" s="266" t="str">
        <f>AH49&amp;"-"&amp;AJ49</f>
        <v>-</v>
      </c>
      <c r="AH50" s="5475"/>
      <c r="AI50" s="5338"/>
      <c r="AJ50" s="5477"/>
      <c r="AK50" s="5338"/>
      <c r="AL50" s="1270"/>
      <c r="AM50" s="5493"/>
      <c r="AO50" s="1545"/>
      <c r="AP50" s="1545" t="str">
        <f t="shared" si="1"/>
        <v/>
      </c>
      <c r="AQ50" s="1545"/>
      <c r="AR50" s="1545"/>
      <c r="AS50" s="1552">
        <v>1</v>
      </c>
    </row>
    <row r="51" spans="1:45" ht="11.45" customHeight="1">
      <c r="A51" s="1188" t="s">
        <v>241</v>
      </c>
      <c r="B51" s="1188" t="s">
        <v>242</v>
      </c>
      <c r="C51" s="1188" t="s">
        <v>243</v>
      </c>
      <c r="D51" s="1188" t="s">
        <v>244</v>
      </c>
      <c r="E51" s="5496"/>
      <c r="F51" s="5496"/>
      <c r="G51" s="5496"/>
      <c r="H51" s="5496"/>
      <c r="I51" s="5309"/>
      <c r="J51" s="5328"/>
      <c r="K51" s="1188"/>
      <c r="L51" s="1231"/>
      <c r="P51" s="5473"/>
      <c r="Q51" s="5473"/>
      <c r="R51" s="294"/>
      <c r="S51" s="1199"/>
      <c r="T51" s="226" t="s">
        <v>504</v>
      </c>
      <c r="U51" s="538"/>
      <c r="V51" s="538"/>
      <c r="W51" s="538"/>
      <c r="X51" s="538"/>
      <c r="Y51" s="538"/>
      <c r="Z51" s="538"/>
      <c r="AA51" s="538"/>
      <c r="AB51" s="538"/>
      <c r="AC51" s="538"/>
      <c r="AD51" s="538"/>
      <c r="AE51" s="538"/>
      <c r="AF51" s="538"/>
      <c r="AG51" s="538"/>
      <c r="AH51" s="538"/>
      <c r="AI51" s="538"/>
      <c r="AJ51" s="538"/>
      <c r="AK51" s="538"/>
      <c r="AL51" s="262"/>
      <c r="AM51" s="5494"/>
      <c r="AO51" s="1545"/>
      <c r="AP51" s="1545" t="str">
        <f t="shared" si="1"/>
        <v>Добавить вид теплоносителя (параметры теплоносителя)</v>
      </c>
      <c r="AQ51" s="1545"/>
      <c r="AR51" s="1545"/>
      <c r="AS51" s="1552">
        <v>11</v>
      </c>
    </row>
    <row r="52" spans="1:45" ht="11.45" customHeight="1">
      <c r="A52" s="1188" t="s">
        <v>241</v>
      </c>
      <c r="B52" s="1188" t="s">
        <v>242</v>
      </c>
      <c r="C52" s="1188" t="s">
        <v>243</v>
      </c>
      <c r="D52" s="1188" t="s">
        <v>244</v>
      </c>
      <c r="E52" s="5496"/>
      <c r="F52" s="5496"/>
      <c r="G52" s="5496"/>
      <c r="H52" s="5496"/>
      <c r="I52" s="5328"/>
      <c r="J52" s="1188"/>
      <c r="K52" s="1188"/>
      <c r="L52" s="1231"/>
      <c r="P52" s="5473"/>
      <c r="Q52" s="1869"/>
      <c r="R52" s="294"/>
      <c r="S52" s="1199"/>
      <c r="T52" s="225" t="s">
        <v>505</v>
      </c>
      <c r="U52" s="538"/>
      <c r="V52" s="538"/>
      <c r="W52" s="538"/>
      <c r="X52" s="538"/>
      <c r="Y52" s="538"/>
      <c r="Z52" s="538"/>
      <c r="AA52" s="538"/>
      <c r="AB52" s="538"/>
      <c r="AC52" s="304"/>
      <c r="AD52" s="538"/>
      <c r="AE52" s="538"/>
      <c r="AF52" s="538"/>
      <c r="AG52" s="538"/>
      <c r="AH52" s="538"/>
      <c r="AI52" s="538"/>
      <c r="AJ52" s="538"/>
      <c r="AK52" s="304"/>
      <c r="AL52" s="538"/>
      <c r="AM52" s="241"/>
      <c r="AO52" s="1545"/>
      <c r="AP52" s="1545" t="str">
        <f t="shared" si="1"/>
        <v>Добавить группу потребителей</v>
      </c>
      <c r="AQ52" s="1545"/>
      <c r="AR52" s="1545"/>
      <c r="AS52" s="1552">
        <v>11</v>
      </c>
    </row>
    <row r="53" spans="1:45" ht="14.65" customHeight="1">
      <c r="A53" s="1188" t="s">
        <v>241</v>
      </c>
      <c r="B53" s="1188" t="s">
        <v>242</v>
      </c>
      <c r="C53" s="1188" t="s">
        <v>243</v>
      </c>
      <c r="D53" s="1188" t="s">
        <v>244</v>
      </c>
      <c r="E53" s="5496"/>
      <c r="F53" s="5496"/>
      <c r="G53" s="5496"/>
      <c r="H53" s="5495"/>
      <c r="I53" s="1188"/>
      <c r="J53" s="1188"/>
      <c r="K53" s="1188"/>
      <c r="L53" s="1231"/>
      <c r="M53" s="1531"/>
      <c r="N53" s="1531"/>
      <c r="O53" s="1556"/>
      <c r="P53" s="298"/>
      <c r="Q53" s="313"/>
      <c r="R53" s="293"/>
      <c r="S53" s="1199"/>
      <c r="T53" s="303" t="s">
        <v>506</v>
      </c>
      <c r="U53" s="538"/>
      <c r="V53" s="538"/>
      <c r="W53" s="538"/>
      <c r="X53" s="538"/>
      <c r="Y53" s="538"/>
      <c r="Z53" s="538"/>
      <c r="AA53" s="538"/>
      <c r="AB53" s="538"/>
      <c r="AC53" s="304"/>
      <c r="AD53" s="538"/>
      <c r="AE53" s="538"/>
      <c r="AF53" s="538"/>
      <c r="AG53" s="538"/>
      <c r="AH53" s="538"/>
      <c r="AI53" s="538"/>
      <c r="AJ53" s="538"/>
      <c r="AK53" s="304"/>
      <c r="AL53" s="538"/>
      <c r="AM53" s="241"/>
      <c r="AO53" s="1545"/>
      <c r="AP53" s="1545" t="str">
        <f t="shared" si="1"/>
        <v>Добавить схему подключения</v>
      </c>
      <c r="AQ53" s="1545"/>
      <c r="AR53" s="1545"/>
      <c r="AS53" s="1552">
        <v>14</v>
      </c>
    </row>
    <row r="54" spans="1:45" s="4275" customFormat="1" ht="4.1500000000000004" customHeight="1">
      <c r="A54" s="1296" t="s">
        <v>241</v>
      </c>
      <c r="B54" s="1296" t="s">
        <v>242</v>
      </c>
      <c r="C54" s="1296" t="s">
        <v>243</v>
      </c>
      <c r="D54" s="1295"/>
      <c r="E54" s="5496"/>
      <c r="F54" s="5496"/>
      <c r="G54" s="5495"/>
      <c r="H54" s="1295"/>
      <c r="I54" s="1295"/>
      <c r="J54" s="1295"/>
      <c r="K54" s="1295"/>
      <c r="L54" s="1298"/>
      <c r="M54" s="1299"/>
      <c r="N54" s="1299"/>
      <c r="O54" s="289"/>
      <c r="P54" s="1237"/>
      <c r="Q54" s="1238"/>
      <c r="R54" s="1237"/>
      <c r="S54" s="1243"/>
      <c r="T54" s="1246" t="s">
        <v>507</v>
      </c>
      <c r="U54" s="1245"/>
      <c r="V54" s="1245"/>
      <c r="W54" s="1245"/>
      <c r="X54" s="1245"/>
      <c r="Y54" s="1245"/>
      <c r="Z54" s="1245"/>
      <c r="AA54" s="1245"/>
      <c r="AB54" s="1245"/>
      <c r="AC54" s="1245"/>
      <c r="AD54" s="1245"/>
      <c r="AE54" s="1245"/>
      <c r="AF54" s="1245"/>
      <c r="AG54" s="1245"/>
      <c r="AH54" s="1245"/>
      <c r="AI54" s="1245"/>
      <c r="AJ54" s="1245"/>
      <c r="AK54" s="1245"/>
      <c r="AL54" s="1245"/>
      <c r="AM54" s="1245"/>
      <c r="AO54" s="1172"/>
      <c r="AP54" s="1172" t="str">
        <f t="shared" si="1"/>
        <v>Добавить источник для дифференциации</v>
      </c>
      <c r="AQ54" s="1172"/>
      <c r="AR54" s="1172"/>
      <c r="AS54" s="1563">
        <v>4</v>
      </c>
    </row>
    <row r="55" spans="1:45" s="4275" customFormat="1" ht="4.1500000000000004" customHeight="1">
      <c r="A55" s="1296" t="s">
        <v>241</v>
      </c>
      <c r="B55" s="1296" t="s">
        <v>242</v>
      </c>
      <c r="C55" s="1295"/>
      <c r="D55" s="1295"/>
      <c r="E55" s="5496"/>
      <c r="F55" s="5495"/>
      <c r="G55" s="1295"/>
      <c r="H55" s="1295"/>
      <c r="I55" s="1295"/>
      <c r="J55" s="1295"/>
      <c r="K55" s="1295"/>
      <c r="L55" s="1298"/>
      <c r="M55" s="1300"/>
      <c r="N55" s="1300"/>
      <c r="O55" s="289"/>
      <c r="P55" s="1237"/>
      <c r="Q55" s="1238"/>
      <c r="R55" s="1237"/>
      <c r="S55" s="1243"/>
      <c r="T55" s="1246" t="s">
        <v>312</v>
      </c>
      <c r="U55" s="1245"/>
      <c r="V55" s="1245"/>
      <c r="W55" s="1245"/>
      <c r="X55" s="1245"/>
      <c r="Y55" s="1245"/>
      <c r="Z55" s="1245"/>
      <c r="AA55" s="1245"/>
      <c r="AB55" s="1245"/>
      <c r="AC55" s="1245"/>
      <c r="AD55" s="1245"/>
      <c r="AE55" s="1245"/>
      <c r="AF55" s="1245"/>
      <c r="AG55" s="1245"/>
      <c r="AH55" s="1245"/>
      <c r="AI55" s="1245"/>
      <c r="AJ55" s="1245"/>
      <c r="AK55" s="1245"/>
      <c r="AL55" s="1245"/>
      <c r="AM55" s="1245"/>
      <c r="AO55" s="1172"/>
      <c r="AP55" s="1172" t="str">
        <f t="shared" si="1"/>
        <v>Добавить централизованную систему для дифференциации</v>
      </c>
      <c r="AQ55" s="1172"/>
      <c r="AR55" s="1172"/>
      <c r="AS55" s="1563">
        <v>4</v>
      </c>
    </row>
    <row r="56" spans="1:45" s="4275" customFormat="1" ht="4.1500000000000004" customHeight="1">
      <c r="A56" s="1296" t="s">
        <v>241</v>
      </c>
      <c r="B56" s="1296"/>
      <c r="C56" s="1296"/>
      <c r="D56" s="1296"/>
      <c r="E56" s="5495"/>
      <c r="F56" s="1296"/>
      <c r="G56" s="1296"/>
      <c r="H56" s="1296"/>
      <c r="I56" s="1296"/>
      <c r="J56" s="1296"/>
      <c r="K56" s="1296"/>
      <c r="L56" s="1302"/>
      <c r="M56" s="1300"/>
      <c r="N56" s="1300"/>
      <c r="O56" s="289"/>
      <c r="P56" s="318"/>
      <c r="Q56" s="1265"/>
      <c r="R56" s="318"/>
      <c r="S56" s="1243"/>
      <c r="T56" s="1246" t="s">
        <v>360</v>
      </c>
      <c r="U56" s="1245"/>
      <c r="V56" s="1245"/>
      <c r="W56" s="1245"/>
      <c r="X56" s="1245"/>
      <c r="Y56" s="1245"/>
      <c r="Z56" s="1245"/>
      <c r="AA56" s="1245"/>
      <c r="AB56" s="1245"/>
      <c r="AC56" s="1245"/>
      <c r="AD56" s="1245"/>
      <c r="AE56" s="1245"/>
      <c r="AF56" s="1245"/>
      <c r="AG56" s="1245"/>
      <c r="AH56" s="1245"/>
      <c r="AI56" s="1245"/>
      <c r="AJ56" s="1245"/>
      <c r="AK56" s="1245"/>
      <c r="AL56" s="1245"/>
      <c r="AM56" s="1245"/>
      <c r="AO56" s="1545"/>
      <c r="AP56" s="1545" t="str">
        <f t="shared" si="1"/>
        <v>Добавить территорию для дифференциации</v>
      </c>
      <c r="AQ56" s="1545"/>
      <c r="AR56" s="1545"/>
      <c r="AS56" s="1557">
        <v>4</v>
      </c>
    </row>
    <row r="57" spans="1:45" s="4275" customFormat="1" ht="4.1500000000000004" customHeight="1">
      <c r="A57" s="1295"/>
      <c r="B57" s="1295"/>
      <c r="C57" s="1295"/>
      <c r="D57" s="1295"/>
      <c r="E57" s="1296"/>
      <c r="F57" s="1295"/>
      <c r="G57" s="1295"/>
      <c r="H57" s="1295"/>
      <c r="I57" s="1295"/>
      <c r="J57" s="1295"/>
      <c r="K57" s="1295"/>
      <c r="L57" s="1298"/>
      <c r="M57" s="1300"/>
      <c r="N57" s="1300"/>
      <c r="O57" s="289"/>
      <c r="P57" s="1237"/>
      <c r="Q57" s="1238"/>
      <c r="R57" s="1237"/>
      <c r="S57" s="1243"/>
      <c r="T57" s="1246" t="s">
        <v>361</v>
      </c>
      <c r="U57" s="1245"/>
      <c r="V57" s="1245"/>
      <c r="W57" s="1245"/>
      <c r="X57" s="1245"/>
      <c r="Y57" s="1245"/>
      <c r="Z57" s="1245"/>
      <c r="AA57" s="1245"/>
      <c r="AB57" s="1245"/>
      <c r="AC57" s="1245"/>
      <c r="AD57" s="1245"/>
      <c r="AE57" s="1245"/>
      <c r="AF57" s="1245"/>
      <c r="AG57" s="1245"/>
      <c r="AH57" s="1245"/>
      <c r="AI57" s="1245"/>
      <c r="AJ57" s="1245"/>
      <c r="AK57" s="1245"/>
      <c r="AL57" s="1245"/>
      <c r="AM57" s="1245"/>
      <c r="AO57" s="1172"/>
      <c r="AP57" s="1172" t="str">
        <f t="shared" si="1"/>
        <v>Добавить наименование тарифа</v>
      </c>
      <c r="AQ57" s="1172"/>
      <c r="AR57" s="1172"/>
      <c r="AS57" s="1563">
        <v>4</v>
      </c>
    </row>
    <row r="58" spans="1:45" ht="11.45" customHeight="1">
      <c r="M58" s="1552"/>
      <c r="N58" s="1552"/>
      <c r="O58" s="1556"/>
      <c r="P58" s="1552"/>
      <c r="Q58" s="1552"/>
      <c r="R58" s="1552"/>
      <c r="S58" s="1552"/>
      <c r="AN58" s="1552"/>
      <c r="AO58" s="1552"/>
      <c r="AP58" s="1552"/>
      <c r="AQ58" s="1552"/>
      <c r="AR58" s="1552"/>
      <c r="AS58" s="1552">
        <v>11</v>
      </c>
    </row>
    <row r="59" spans="1:45" ht="28.5" customHeight="1">
      <c r="O59" s="1556"/>
      <c r="S59" s="1174"/>
      <c r="T59" s="5468"/>
      <c r="U59" s="5468"/>
      <c r="V59" s="5468"/>
      <c r="W59" s="5468"/>
      <c r="X59" s="5468"/>
      <c r="Y59" s="5468"/>
      <c r="Z59" s="5468"/>
      <c r="AA59" s="5468"/>
      <c r="AB59" s="5468"/>
      <c r="AC59" s="5468"/>
      <c r="AD59" s="5468"/>
      <c r="AE59" s="5468"/>
      <c r="AF59" s="5468"/>
      <c r="AG59" s="5468"/>
      <c r="AH59" s="5468"/>
      <c r="AI59" s="5468"/>
      <c r="AJ59" s="5468"/>
      <c r="AK59" s="5468"/>
      <c r="AL59" s="5468"/>
      <c r="AM59" s="5468"/>
      <c r="AS59" s="1552">
        <v>27</v>
      </c>
    </row>
    <row r="60" spans="1:45" ht="65.25" customHeight="1">
      <c r="O60" s="1556"/>
      <c r="T60" s="5468"/>
      <c r="U60" s="5468"/>
      <c r="V60" s="5468"/>
      <c r="W60" s="5468"/>
      <c r="X60" s="5468"/>
      <c r="Y60" s="5468"/>
      <c r="Z60" s="5468"/>
      <c r="AA60" s="5468"/>
      <c r="AB60" s="5468"/>
      <c r="AC60" s="5468"/>
      <c r="AD60" s="5468"/>
      <c r="AE60" s="5468"/>
      <c r="AF60" s="5468"/>
      <c r="AG60" s="5468"/>
      <c r="AH60" s="5468"/>
      <c r="AI60" s="5468"/>
      <c r="AJ60" s="5468"/>
      <c r="AK60" s="5468"/>
      <c r="AL60" s="5468"/>
      <c r="AM60" s="5468"/>
      <c r="AS60" s="1552">
        <v>62</v>
      </c>
    </row>
    <row r="61" spans="1:45" ht="14.65" customHeight="1">
      <c r="O61" s="1556"/>
      <c r="AS61" s="1552">
        <v>14</v>
      </c>
    </row>
    <row r="62" spans="1:45" ht="18.75" customHeight="1">
      <c r="O62" s="1556"/>
      <c r="S62" s="1174"/>
      <c r="T62" s="5468"/>
      <c r="U62" s="5468"/>
      <c r="V62" s="5468"/>
      <c r="W62" s="5468"/>
      <c r="X62" s="5468"/>
      <c r="Y62" s="5468"/>
      <c r="Z62" s="5468"/>
      <c r="AA62" s="5468"/>
      <c r="AB62" s="5468"/>
      <c r="AC62" s="5468"/>
      <c r="AD62" s="5468"/>
      <c r="AE62" s="5468"/>
      <c r="AF62" s="5468"/>
      <c r="AG62" s="5468"/>
      <c r="AH62" s="5468"/>
      <c r="AI62" s="5468"/>
      <c r="AJ62" s="5468"/>
      <c r="AK62" s="5468"/>
      <c r="AL62" s="5468"/>
      <c r="AM62" s="5468"/>
      <c r="AS62" s="1552">
        <v>18</v>
      </c>
    </row>
    <row r="63" spans="1:45" ht="18.75" customHeight="1">
      <c r="O63" s="1556"/>
      <c r="T63" s="5468"/>
      <c r="U63" s="5468"/>
      <c r="V63" s="5468"/>
      <c r="W63" s="5468"/>
      <c r="X63" s="5468"/>
      <c r="Y63" s="5468"/>
      <c r="Z63" s="5468"/>
      <c r="AA63" s="5468"/>
      <c r="AB63" s="5468"/>
      <c r="AC63" s="5468"/>
      <c r="AD63" s="5468"/>
      <c r="AE63" s="5468"/>
      <c r="AF63" s="5468"/>
      <c r="AG63" s="5468"/>
      <c r="AH63" s="5468"/>
      <c r="AI63" s="5468"/>
      <c r="AJ63" s="5468"/>
      <c r="AK63" s="5468"/>
      <c r="AL63" s="5468"/>
      <c r="AM63" s="5468"/>
      <c r="AS63" s="1552">
        <v>18</v>
      </c>
    </row>
    <row r="64" spans="1:45" ht="29.25" customHeight="1">
      <c r="O64" s="1556"/>
      <c r="S64" s="1174"/>
      <c r="T64" s="5468"/>
      <c r="U64" s="5468"/>
      <c r="V64" s="5468"/>
      <c r="W64" s="5468"/>
      <c r="X64" s="5468"/>
      <c r="Y64" s="5468"/>
      <c r="Z64" s="5468"/>
      <c r="AA64" s="5468"/>
      <c r="AB64" s="5468"/>
      <c r="AC64" s="5468"/>
      <c r="AD64" s="5468"/>
      <c r="AE64" s="5468"/>
      <c r="AF64" s="5468"/>
      <c r="AG64" s="5468"/>
      <c r="AH64" s="5468"/>
      <c r="AI64" s="5468"/>
      <c r="AJ64" s="5468"/>
      <c r="AK64" s="5468"/>
      <c r="AL64" s="5468"/>
      <c r="AM64" s="5468"/>
      <c r="AS64" s="1552">
        <v>28</v>
      </c>
    </row>
    <row r="65" spans="1:45" ht="22.5" hidden="1" customHeight="1">
      <c r="A65" s="1552" t="s">
        <v>82</v>
      </c>
      <c r="B65" s="1552">
        <v>0</v>
      </c>
      <c r="C65" s="1552">
        <v>0</v>
      </c>
      <c r="D65" s="1552">
        <v>0</v>
      </c>
      <c r="E65" s="1552">
        <v>0</v>
      </c>
      <c r="F65" s="1552">
        <v>0</v>
      </c>
      <c r="G65" s="1552">
        <v>0</v>
      </c>
      <c r="H65" s="1552">
        <v>0</v>
      </c>
      <c r="I65" s="1552">
        <v>0</v>
      </c>
      <c r="J65" s="1552">
        <v>0</v>
      </c>
      <c r="K65" s="1552">
        <v>0</v>
      </c>
      <c r="L65" s="1854">
        <v>0</v>
      </c>
      <c r="M65" s="1880">
        <v>0</v>
      </c>
      <c r="N65" s="1880">
        <v>0</v>
      </c>
      <c r="O65" s="1880">
        <v>0</v>
      </c>
      <c r="P65" s="1880">
        <v>3</v>
      </c>
      <c r="Q65" s="282">
        <v>3</v>
      </c>
      <c r="R65" s="282">
        <v>3</v>
      </c>
      <c r="S65" s="519">
        <v>12</v>
      </c>
      <c r="T65" s="1552">
        <v>31</v>
      </c>
      <c r="U65" s="1552">
        <v>0</v>
      </c>
      <c r="V65" s="1552">
        <v>0</v>
      </c>
      <c r="W65" s="1552">
        <v>0</v>
      </c>
      <c r="X65" s="1552">
        <v>0</v>
      </c>
      <c r="Y65" s="1552">
        <v>0</v>
      </c>
      <c r="Z65" s="1552">
        <v>0</v>
      </c>
      <c r="AA65" s="1552">
        <v>0</v>
      </c>
      <c r="AB65" s="1552">
        <v>0</v>
      </c>
      <c r="AC65" s="1552">
        <v>0</v>
      </c>
      <c r="AD65" s="1552">
        <v>24</v>
      </c>
      <c r="AE65" s="1552">
        <v>0</v>
      </c>
      <c r="AF65" s="1552">
        <v>24</v>
      </c>
      <c r="AG65" s="1552">
        <v>24</v>
      </c>
      <c r="AH65" s="1552">
        <v>11</v>
      </c>
      <c r="AI65" s="1552">
        <v>3</v>
      </c>
      <c r="AJ65" s="1552">
        <v>11</v>
      </c>
      <c r="AK65" s="1552">
        <v>0</v>
      </c>
      <c r="AL65" s="1552">
        <v>4</v>
      </c>
      <c r="AM65" s="1552">
        <v>115</v>
      </c>
      <c r="AN65" s="1557">
        <v>10</v>
      </c>
      <c r="AO65" s="1557">
        <v>10</v>
      </c>
      <c r="AP65" s="1557">
        <v>10</v>
      </c>
      <c r="AQ65" s="1557">
        <v>10</v>
      </c>
      <c r="AR65" s="1557">
        <v>10</v>
      </c>
      <c r="AS65" s="1552">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267" hidden="1"/>
    <col min="2" max="2" width="11" style="4267" hidden="1" customWidth="1"/>
    <col min="3" max="3" width="10.5703125" style="4267" hidden="1"/>
    <col min="4" max="4" width="11.85546875" style="4267" hidden="1" customWidth="1"/>
    <col min="5" max="5" width="10" style="4267" hidden="1" customWidth="1"/>
    <col min="6" max="6" width="8.7109375" style="4267" hidden="1" customWidth="1"/>
    <col min="7" max="7" width="7.5703125" style="4267" hidden="1" customWidth="1"/>
    <col min="8" max="8" width="11.42578125" style="4267" hidden="1" customWidth="1"/>
    <col min="9" max="9" width="12" style="4267" hidden="1" customWidth="1"/>
    <col min="10" max="10" width="9.85546875" style="4267" hidden="1" customWidth="1"/>
    <col min="11" max="11" width="11.42578125" style="4267" hidden="1" customWidth="1"/>
    <col min="12" max="12" width="19.140625" style="4272" hidden="1" customWidth="1"/>
    <col min="13" max="14" width="12.28515625" style="4302" hidden="1" customWidth="1"/>
    <col min="15" max="15" width="23.42578125" style="4302" hidden="1" customWidth="1"/>
    <col min="16" max="16" width="3" style="4302" customWidth="1"/>
    <col min="17" max="18" width="3" style="4303" customWidth="1"/>
    <col min="19" max="19" width="12" style="4304" customWidth="1"/>
    <col min="20" max="20" width="31" style="4267" customWidth="1"/>
    <col min="21" max="21" width="0.140625" style="4267" customWidth="1"/>
    <col min="22" max="22" width="24.7109375" style="4267" hidden="1" customWidth="1"/>
    <col min="23" max="23" width="0.140625" style="4267" hidden="1" customWidth="1"/>
    <col min="24" max="25" width="24.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24.7109375" style="4267" customWidth="1"/>
    <col min="31" max="31" width="0.140625" style="4267" customWidth="1"/>
    <col min="32" max="33" width="24" style="4267" customWidth="1"/>
    <col min="34" max="34" width="11" style="4267" customWidth="1"/>
    <col min="35" max="35" width="3.7109375" style="4267" customWidth="1"/>
    <col min="36" max="36" width="11" style="4267" customWidth="1"/>
    <col min="37" max="37" width="8.5703125" style="4267" hidden="1" customWidth="1"/>
    <col min="38" max="38" width="4" style="4267" customWidth="1"/>
    <col min="39" max="39" width="115" style="4267" customWidth="1"/>
    <col min="40" max="44" width="10" style="4275" customWidth="1"/>
    <col min="45" max="45" width="10.5703125" style="4267" hidden="1"/>
  </cols>
  <sheetData>
    <row r="1" spans="1:45" ht="22.5" hidden="1" customHeight="1">
      <c r="AS1" s="1552" t="s">
        <v>14</v>
      </c>
    </row>
    <row r="2" spans="1:45" ht="21" hidden="1" customHeight="1">
      <c r="A2" s="1188"/>
      <c r="B2" s="1188"/>
      <c r="C2" s="1188"/>
      <c r="D2" s="1188"/>
      <c r="E2" s="5495">
        <v>1</v>
      </c>
      <c r="F2" s="1188"/>
      <c r="G2" s="1188"/>
      <c r="H2" s="1188"/>
      <c r="I2" s="1188"/>
      <c r="J2" s="1188"/>
      <c r="K2" s="1188"/>
      <c r="L2" s="1231"/>
      <c r="M2" s="1531"/>
      <c r="N2" s="1531"/>
      <c r="O2" s="1531"/>
      <c r="P2" s="1511"/>
      <c r="Q2" s="298"/>
      <c r="R2" s="293"/>
      <c r="S2" s="1873" t="e">
        <f>INDEX(PT_DIFFERENTIATION_NUM_NTAR,MATCH(A2,PT_DIFFERENTIATION_NTAR_ID,0))</f>
        <v>#N/A</v>
      </c>
      <c r="T2" s="1446" t="s">
        <v>155</v>
      </c>
      <c r="U2" s="238"/>
      <c r="V2" s="5463"/>
      <c r="W2" s="5464"/>
      <c r="X2" s="5464"/>
      <c r="Y2" s="5464"/>
      <c r="Z2" s="5464"/>
      <c r="AA2" s="5464"/>
      <c r="AB2" s="5464"/>
      <c r="AC2" s="5465"/>
      <c r="AD2" s="5463" t="e">
        <f>INDEX(PT_DIFFERENTIATION_NTAR,MATCH(A2,PT_DIFFERENTIATION_NTAR_ID,0))</f>
        <v>#N/A</v>
      </c>
      <c r="AE2" s="5464"/>
      <c r="AF2" s="5464"/>
      <c r="AG2" s="5464"/>
      <c r="AH2" s="5464"/>
      <c r="AI2" s="5464"/>
      <c r="AJ2" s="5464"/>
      <c r="AK2" s="5464"/>
      <c r="AL2" s="5465"/>
      <c r="AM2" s="1179" t="s">
        <v>489</v>
      </c>
      <c r="AO2" s="1545"/>
      <c r="AP2" s="1545" t="str">
        <f t="shared" ref="AP2:AP15" si="0">IF(T2="","",T2)</f>
        <v>Наименование тарифа</v>
      </c>
      <c r="AQ2" s="1545"/>
      <c r="AR2" s="1545"/>
      <c r="AS2" s="1552">
        <v>0</v>
      </c>
    </row>
    <row r="3" spans="1:45" ht="21" hidden="1" customHeight="1">
      <c r="A3" s="1188"/>
      <c r="B3" s="1188"/>
      <c r="C3" s="1188"/>
      <c r="D3" s="1188"/>
      <c r="E3" s="5496"/>
      <c r="F3" s="5495">
        <v>1</v>
      </c>
      <c r="G3" s="1188"/>
      <c r="H3" s="1188"/>
      <c r="I3" s="1188"/>
      <c r="J3" s="1188"/>
      <c r="K3" s="1188"/>
      <c r="L3" s="1231"/>
      <c r="M3" s="1531"/>
      <c r="N3" s="1531"/>
      <c r="O3" s="1531"/>
      <c r="P3" s="1855"/>
      <c r="Q3" s="290"/>
      <c r="R3" s="291"/>
      <c r="S3" s="1873" t="e">
        <f>INDEX(PT_DIFFERENTIATION_NUM_TER,MATCH(B3,PT_DIFFERENTIATION_TER_ID,0))</f>
        <v>#N/A</v>
      </c>
      <c r="T3" s="1443" t="s">
        <v>490</v>
      </c>
      <c r="U3" s="238"/>
      <c r="V3" s="5463"/>
      <c r="W3" s="5464"/>
      <c r="X3" s="5464"/>
      <c r="Y3" s="5464"/>
      <c r="Z3" s="5464"/>
      <c r="AA3" s="5464"/>
      <c r="AB3" s="5464"/>
      <c r="AC3" s="5465"/>
      <c r="AD3" s="5463" t="e">
        <f>INDEX(PT_DIFFERENTIATION_TER,MATCH(B3,PT_DIFFERENTIATION_TER_ID,0))</f>
        <v>#N/A</v>
      </c>
      <c r="AE3" s="5464"/>
      <c r="AF3" s="5464"/>
      <c r="AG3" s="5464"/>
      <c r="AH3" s="5464"/>
      <c r="AI3" s="5464"/>
      <c r="AJ3" s="5464"/>
      <c r="AK3" s="5464"/>
      <c r="AL3" s="5465"/>
      <c r="AM3" s="1179" t="s">
        <v>491</v>
      </c>
      <c r="AO3" s="1545"/>
      <c r="AP3" s="1545" t="str">
        <f t="shared" si="0"/>
        <v>Территория действия тарифа</v>
      </c>
      <c r="AQ3" s="1545"/>
      <c r="AR3" s="1545"/>
      <c r="AS3" s="1552">
        <v>0</v>
      </c>
    </row>
    <row r="4" spans="1:45" ht="23.25" hidden="1" customHeight="1">
      <c r="A4" s="1188"/>
      <c r="B4" s="1188"/>
      <c r="C4" s="1188"/>
      <c r="D4" s="1188"/>
      <c r="E4" s="5496"/>
      <c r="F4" s="5496"/>
      <c r="G4" s="5495">
        <v>1</v>
      </c>
      <c r="H4" s="1188"/>
      <c r="I4" s="1188"/>
      <c r="J4" s="1188"/>
      <c r="K4" s="1188"/>
      <c r="L4" s="1231"/>
      <c r="M4" s="1531"/>
      <c r="N4" s="1531"/>
      <c r="O4" s="1531"/>
      <c r="P4" s="292"/>
      <c r="Q4" s="290"/>
      <c r="R4" s="291"/>
      <c r="S4" s="1873" t="e">
        <f>INDEX(PT_DIFFERENTIATION_NUM_CS,MATCH(C4,PT_DIFFERENTIATION_CS_ID,0))</f>
        <v>#N/A</v>
      </c>
      <c r="T4" s="247" t="s">
        <v>492</v>
      </c>
      <c r="U4" s="238"/>
      <c r="V4" s="5463"/>
      <c r="W4" s="5464"/>
      <c r="X4" s="5464"/>
      <c r="Y4" s="5464"/>
      <c r="Z4" s="5464"/>
      <c r="AA4" s="5464"/>
      <c r="AB4" s="5464"/>
      <c r="AC4" s="5465"/>
      <c r="AD4" s="5463" t="e">
        <f>INDEX(PT_DIFFERENTIATION_CS,MATCH(C4,PT_DIFFERENTIATION_CS_ID,0))</f>
        <v>#N/A</v>
      </c>
      <c r="AE4" s="5464"/>
      <c r="AF4" s="5464"/>
      <c r="AG4" s="5464"/>
      <c r="AH4" s="5464"/>
      <c r="AI4" s="5464"/>
      <c r="AJ4" s="5464"/>
      <c r="AK4" s="5464"/>
      <c r="AL4" s="5465"/>
      <c r="AM4" s="1179" t="s">
        <v>493</v>
      </c>
      <c r="AO4" s="1545"/>
      <c r="AP4" s="1545" t="str">
        <f t="shared" si="0"/>
        <v xml:space="preserve">Наименование системы теплоснабжения </v>
      </c>
      <c r="AQ4" s="1545"/>
      <c r="AR4" s="1545"/>
      <c r="AS4" s="1552">
        <v>0</v>
      </c>
    </row>
    <row r="5" spans="1:45" ht="21" hidden="1" customHeight="1">
      <c r="A5" s="1188"/>
      <c r="B5" s="1188"/>
      <c r="C5" s="1188"/>
      <c r="D5" s="1188"/>
      <c r="E5" s="5496"/>
      <c r="F5" s="5496"/>
      <c r="G5" s="5496"/>
      <c r="H5" s="5495">
        <v>1</v>
      </c>
      <c r="I5" s="1188"/>
      <c r="J5" s="1188"/>
      <c r="K5" s="1188"/>
      <c r="L5" s="1231"/>
      <c r="M5" s="1531"/>
      <c r="N5" s="1531"/>
      <c r="O5" s="1531"/>
      <c r="P5" s="292"/>
      <c r="Q5" s="290"/>
      <c r="R5" s="291"/>
      <c r="S5" s="1873" t="e">
        <f>INDEX(PT_DIFFERENTIATION_NUM_IST_TE,MATCH(D5,PT_DIFFERENTIATION_IST_TE_ID,0))</f>
        <v>#N/A</v>
      </c>
      <c r="T5" s="248" t="s">
        <v>494</v>
      </c>
      <c r="U5" s="238"/>
      <c r="V5" s="5463"/>
      <c r="W5" s="5464"/>
      <c r="X5" s="5464"/>
      <c r="Y5" s="5464"/>
      <c r="Z5" s="5464"/>
      <c r="AA5" s="5464"/>
      <c r="AB5" s="5464"/>
      <c r="AC5" s="5465"/>
      <c r="AD5" s="5463" t="e">
        <f>INDEX(PT_DIFFERENTIATION_IST_TE,MATCH(D5,PT_DIFFERENTIATION_IST_TE_ID,0))</f>
        <v>#N/A</v>
      </c>
      <c r="AE5" s="5464"/>
      <c r="AF5" s="5464"/>
      <c r="AG5" s="5464"/>
      <c r="AH5" s="5464"/>
      <c r="AI5" s="5464"/>
      <c r="AJ5" s="5464"/>
      <c r="AK5" s="5464"/>
      <c r="AL5" s="5465"/>
      <c r="AM5" s="1179" t="s">
        <v>495</v>
      </c>
      <c r="AO5" s="1545"/>
      <c r="AP5" s="1545" t="str">
        <f t="shared" si="0"/>
        <v xml:space="preserve">Источник тепловой энергии  </v>
      </c>
      <c r="AQ5" s="1545"/>
      <c r="AR5" s="1545"/>
      <c r="AS5" s="1552">
        <v>0</v>
      </c>
    </row>
    <row r="6" spans="1:45" ht="47.25" hidden="1" customHeight="1">
      <c r="A6" s="1188"/>
      <c r="B6" s="1188"/>
      <c r="C6" s="1188"/>
      <c r="D6" s="1188"/>
      <c r="E6" s="5496"/>
      <c r="F6" s="5496"/>
      <c r="G6" s="5496"/>
      <c r="H6" s="5496"/>
      <c r="I6" s="5328" t="e">
        <f>S5&amp;".1"</f>
        <v>#N/A</v>
      </c>
      <c r="J6" s="1188"/>
      <c r="K6" s="1188"/>
      <c r="L6" s="1231" t="s">
        <v>496</v>
      </c>
      <c r="M6" s="1556"/>
      <c r="P6" s="5473">
        <v>1</v>
      </c>
      <c r="Q6" s="1869"/>
      <c r="R6" s="294"/>
      <c r="S6" s="1873" t="e">
        <f>$I6</f>
        <v>#N/A</v>
      </c>
      <c r="T6" s="223" t="s">
        <v>497</v>
      </c>
      <c r="U6" s="238"/>
      <c r="V6" s="5457"/>
      <c r="W6" s="5458"/>
      <c r="X6" s="5458"/>
      <c r="Y6" s="5458"/>
      <c r="Z6" s="5458"/>
      <c r="AA6" s="5458"/>
      <c r="AB6" s="5458"/>
      <c r="AC6" s="5459"/>
      <c r="AD6" s="5457"/>
      <c r="AE6" s="5458"/>
      <c r="AF6" s="5458"/>
      <c r="AG6" s="5458"/>
      <c r="AH6" s="5458"/>
      <c r="AI6" s="5458"/>
      <c r="AJ6" s="5458"/>
      <c r="AK6" s="5458"/>
      <c r="AL6" s="5459"/>
      <c r="AM6" s="1179" t="s">
        <v>498</v>
      </c>
      <c r="AO6" s="1545"/>
      <c r="AP6" s="1545" t="str">
        <f t="shared" si="0"/>
        <v>Схема подключения теплопотребляющей установки к коллектору источника тепловой энергии</v>
      </c>
      <c r="AQ6" s="1545"/>
      <c r="AR6" s="1545"/>
      <c r="AS6" s="1552">
        <v>0</v>
      </c>
    </row>
    <row r="7" spans="1:45" ht="21" hidden="1" customHeight="1">
      <c r="A7" s="1188"/>
      <c r="B7" s="1188"/>
      <c r="C7" s="1188"/>
      <c r="D7" s="1188"/>
      <c r="E7" s="5496"/>
      <c r="F7" s="5496"/>
      <c r="G7" s="5496"/>
      <c r="H7" s="5496"/>
      <c r="I7" s="5309"/>
      <c r="J7" s="5328" t="e">
        <f>I6&amp;".1"</f>
        <v>#N/A</v>
      </c>
      <c r="K7" s="1188"/>
      <c r="L7" s="1231" t="s">
        <v>499</v>
      </c>
      <c r="M7" s="1556"/>
      <c r="N7" s="1552"/>
      <c r="P7" s="5473"/>
      <c r="Q7" s="5473">
        <v>1</v>
      </c>
      <c r="R7" s="295"/>
      <c r="S7" s="1873" t="e">
        <f>$J7</f>
        <v>#N/A</v>
      </c>
      <c r="T7" s="224" t="s">
        <v>500</v>
      </c>
      <c r="U7" s="238"/>
      <c r="V7" s="5457"/>
      <c r="W7" s="5458"/>
      <c r="X7" s="5458"/>
      <c r="Y7" s="5458"/>
      <c r="Z7" s="5458"/>
      <c r="AA7" s="5458"/>
      <c r="AB7" s="5458"/>
      <c r="AC7" s="5459"/>
      <c r="AD7" s="5457"/>
      <c r="AE7" s="5458"/>
      <c r="AF7" s="5458"/>
      <c r="AG7" s="5458"/>
      <c r="AH7" s="5458"/>
      <c r="AI7" s="5458"/>
      <c r="AJ7" s="5458"/>
      <c r="AK7" s="5458"/>
      <c r="AL7" s="5459"/>
      <c r="AM7" s="1179" t="s">
        <v>501</v>
      </c>
      <c r="AO7" s="1545"/>
      <c r="AP7" s="1545" t="str">
        <f t="shared" si="0"/>
        <v>Группа потребителей</v>
      </c>
      <c r="AQ7" s="1545"/>
      <c r="AR7" s="1545"/>
      <c r="AS7" s="1552">
        <v>0</v>
      </c>
    </row>
    <row r="8" spans="1:45" ht="21" hidden="1" customHeight="1">
      <c r="A8" s="1188"/>
      <c r="B8" s="1188"/>
      <c r="C8" s="1188"/>
      <c r="D8" s="1188"/>
      <c r="E8" s="5496"/>
      <c r="F8" s="5496"/>
      <c r="G8" s="5496"/>
      <c r="H8" s="5496"/>
      <c r="I8" s="5309"/>
      <c r="J8" s="5309"/>
      <c r="K8" s="5328" t="e">
        <f>J7&amp;".1"</f>
        <v>#N/A</v>
      </c>
      <c r="L8" s="1231" t="s">
        <v>502</v>
      </c>
      <c r="M8" s="1556"/>
      <c r="N8" s="1552"/>
      <c r="O8" s="1552"/>
      <c r="P8" s="5473"/>
      <c r="Q8" s="5473"/>
      <c r="R8" s="295">
        <v>1</v>
      </c>
      <c r="S8" s="1873" t="e">
        <f>$K8</f>
        <v>#N/A</v>
      </c>
      <c r="T8" s="1268"/>
      <c r="U8" s="238"/>
      <c r="V8" s="689"/>
      <c r="W8" s="263"/>
      <c r="X8" s="689"/>
      <c r="Y8" s="1178"/>
      <c r="Z8" s="5474"/>
      <c r="AA8" s="5338" t="s">
        <v>66</v>
      </c>
      <c r="AB8" s="5474"/>
      <c r="AC8" s="5338" t="s">
        <v>66</v>
      </c>
      <c r="AD8" s="689"/>
      <c r="AE8" s="263"/>
      <c r="AF8" s="689"/>
      <c r="AG8" s="1178"/>
      <c r="AH8" s="5474"/>
      <c r="AI8" s="5338" t="s">
        <v>66</v>
      </c>
      <c r="AJ8" s="5474"/>
      <c r="AK8" s="5338" t="s">
        <v>66</v>
      </c>
      <c r="AL8" s="263"/>
      <c r="AM8" s="5492" t="s">
        <v>503</v>
      </c>
      <c r="AN8" s="1557" t="e">
        <f ca="1">STRCHECKDATE(V9:AL9)</f>
        <v>#NAME?</v>
      </c>
      <c r="AO8" s="1545"/>
      <c r="AP8" s="1545" t="str">
        <f t="shared" si="0"/>
        <v/>
      </c>
      <c r="AQ8" s="1545"/>
      <c r="AR8" s="1545"/>
      <c r="AS8" s="1552">
        <v>0</v>
      </c>
    </row>
    <row r="9" spans="1:45" ht="0.75" hidden="1" customHeight="1">
      <c r="A9" s="1188"/>
      <c r="B9" s="1188"/>
      <c r="C9" s="1188"/>
      <c r="D9" s="1188"/>
      <c r="E9" s="5496"/>
      <c r="F9" s="5496"/>
      <c r="G9" s="5496"/>
      <c r="H9" s="5496"/>
      <c r="I9" s="5309"/>
      <c r="J9" s="5309"/>
      <c r="K9" s="5328"/>
      <c r="L9" s="1231"/>
      <c r="M9" s="1556"/>
      <c r="N9" s="1552"/>
      <c r="O9" s="1552"/>
      <c r="P9" s="5473"/>
      <c r="Q9" s="5473"/>
      <c r="R9" s="295"/>
      <c r="S9" s="1882"/>
      <c r="T9" s="238"/>
      <c r="U9" s="238"/>
      <c r="V9" s="263"/>
      <c r="W9" s="263"/>
      <c r="X9" s="263"/>
      <c r="Y9" s="266" t="str">
        <f>Z8&amp;"-"&amp;AB8</f>
        <v>-</v>
      </c>
      <c r="Z9" s="5475"/>
      <c r="AA9" s="5338"/>
      <c r="AB9" s="5475"/>
      <c r="AC9" s="5338"/>
      <c r="AD9" s="263"/>
      <c r="AE9" s="263"/>
      <c r="AF9" s="263"/>
      <c r="AG9" s="266" t="str">
        <f>AH8&amp;"-"&amp;AJ8</f>
        <v>-</v>
      </c>
      <c r="AH9" s="5475"/>
      <c r="AI9" s="5338"/>
      <c r="AJ9" s="5475"/>
      <c r="AK9" s="5338"/>
      <c r="AL9" s="263"/>
      <c r="AM9" s="5493"/>
      <c r="AO9" s="1545"/>
      <c r="AP9" s="1545" t="str">
        <f t="shared" si="0"/>
        <v/>
      </c>
      <c r="AQ9" s="1545"/>
      <c r="AR9" s="1545"/>
      <c r="AS9" s="1552">
        <v>0</v>
      </c>
    </row>
    <row r="10" spans="1:45" ht="15" hidden="1" customHeight="1">
      <c r="A10" s="1188"/>
      <c r="B10" s="1188"/>
      <c r="C10" s="1188"/>
      <c r="D10" s="1188"/>
      <c r="E10" s="5496"/>
      <c r="F10" s="5496"/>
      <c r="G10" s="5496"/>
      <c r="H10" s="5496"/>
      <c r="I10" s="5309"/>
      <c r="J10" s="5328"/>
      <c r="K10" s="1188"/>
      <c r="L10" s="1231"/>
      <c r="M10" s="1556"/>
      <c r="N10" s="1552"/>
      <c r="P10" s="5473"/>
      <c r="Q10" s="5473"/>
      <c r="R10" s="294"/>
      <c r="S10" s="1199"/>
      <c r="T10" s="226" t="s">
        <v>504</v>
      </c>
      <c r="U10" s="538"/>
      <c r="V10" s="538"/>
      <c r="W10" s="538"/>
      <c r="X10" s="538"/>
      <c r="Y10" s="538"/>
      <c r="Z10" s="538"/>
      <c r="AA10" s="538"/>
      <c r="AB10" s="538"/>
      <c r="AC10" s="538"/>
      <c r="AD10" s="538"/>
      <c r="AE10" s="538"/>
      <c r="AF10" s="538"/>
      <c r="AG10" s="538"/>
      <c r="AH10" s="538"/>
      <c r="AI10" s="538"/>
      <c r="AJ10" s="538"/>
      <c r="AK10" s="538"/>
      <c r="AL10" s="262"/>
      <c r="AM10" s="5494"/>
      <c r="AO10" s="1545"/>
      <c r="AP10" s="1545" t="str">
        <f t="shared" si="0"/>
        <v>Добавить вид теплоносителя (параметры теплоносителя)</v>
      </c>
      <c r="AQ10" s="1545"/>
      <c r="AR10" s="1545"/>
      <c r="AS10" s="1552">
        <v>0</v>
      </c>
    </row>
    <row r="11" spans="1:45" ht="15" hidden="1" customHeight="1">
      <c r="A11" s="1188"/>
      <c r="B11" s="1188"/>
      <c r="C11" s="1188"/>
      <c r="D11" s="1188"/>
      <c r="E11" s="5496"/>
      <c r="F11" s="5496"/>
      <c r="G11" s="5496"/>
      <c r="H11" s="5496"/>
      <c r="I11" s="5328"/>
      <c r="J11" s="1188"/>
      <c r="K11" s="1188"/>
      <c r="L11" s="1231"/>
      <c r="M11" s="1556"/>
      <c r="P11" s="5473"/>
      <c r="Q11" s="1869"/>
      <c r="R11" s="294"/>
      <c r="S11" s="1199"/>
      <c r="T11" s="225" t="s">
        <v>505</v>
      </c>
      <c r="U11" s="538"/>
      <c r="V11" s="538"/>
      <c r="W11" s="538"/>
      <c r="X11" s="538"/>
      <c r="Y11" s="538"/>
      <c r="Z11" s="538"/>
      <c r="AA11" s="538"/>
      <c r="AB11" s="538"/>
      <c r="AC11" s="304"/>
      <c r="AD11" s="538"/>
      <c r="AE11" s="538"/>
      <c r="AF11" s="538"/>
      <c r="AG11" s="538"/>
      <c r="AH11" s="538"/>
      <c r="AI11" s="538"/>
      <c r="AJ11" s="538"/>
      <c r="AK11" s="304"/>
      <c r="AL11" s="538"/>
      <c r="AM11" s="241"/>
      <c r="AO11" s="1545"/>
      <c r="AP11" s="1545" t="str">
        <f t="shared" si="0"/>
        <v>Добавить группу потребителей</v>
      </c>
      <c r="AQ11" s="1545"/>
      <c r="AR11" s="1545"/>
      <c r="AS11" s="1552">
        <v>0</v>
      </c>
    </row>
    <row r="12" spans="1:45" ht="14.25" hidden="1" customHeight="1">
      <c r="A12" s="1188"/>
      <c r="B12" s="1188"/>
      <c r="C12" s="1188"/>
      <c r="D12" s="1188"/>
      <c r="E12" s="5496"/>
      <c r="F12" s="5496"/>
      <c r="G12" s="5496"/>
      <c r="H12" s="5495"/>
      <c r="I12" s="1188"/>
      <c r="J12" s="1188"/>
      <c r="K12" s="1188"/>
      <c r="L12" s="1231"/>
      <c r="M12" s="1531"/>
      <c r="N12" s="1531"/>
      <c r="O12" s="1556"/>
      <c r="P12" s="298"/>
      <c r="Q12" s="313"/>
      <c r="R12" s="293"/>
      <c r="S12" s="1199"/>
      <c r="T12" s="303" t="s">
        <v>506</v>
      </c>
      <c r="U12" s="538"/>
      <c r="V12" s="538"/>
      <c r="W12" s="538"/>
      <c r="X12" s="538"/>
      <c r="Y12" s="538"/>
      <c r="Z12" s="538"/>
      <c r="AA12" s="538"/>
      <c r="AB12" s="538"/>
      <c r="AC12" s="304"/>
      <c r="AD12" s="538"/>
      <c r="AE12" s="538"/>
      <c r="AF12" s="538"/>
      <c r="AG12" s="538"/>
      <c r="AH12" s="538"/>
      <c r="AI12" s="538"/>
      <c r="AJ12" s="538"/>
      <c r="AK12" s="304"/>
      <c r="AL12" s="538"/>
      <c r="AM12" s="241"/>
      <c r="AO12" s="1545"/>
      <c r="AP12" s="1545" t="str">
        <f t="shared" si="0"/>
        <v>Добавить схему подключения</v>
      </c>
      <c r="AQ12" s="1545"/>
      <c r="AR12" s="1545"/>
      <c r="AS12" s="1552">
        <v>0</v>
      </c>
    </row>
    <row r="13" spans="1:45" s="4275" customFormat="1" ht="0.75" hidden="1" customHeight="1">
      <c r="A13" s="1889"/>
      <c r="B13" s="1889"/>
      <c r="C13" s="1889"/>
      <c r="D13" s="1889"/>
      <c r="E13" s="5496"/>
      <c r="F13" s="5496"/>
      <c r="G13" s="5495"/>
      <c r="H13" s="1889"/>
      <c r="I13" s="1889"/>
      <c r="J13" s="1889"/>
      <c r="K13" s="1889"/>
      <c r="L13" s="1301"/>
      <c r="M13" s="1531"/>
      <c r="N13" s="1531"/>
      <c r="O13" s="1556"/>
      <c r="P13" s="1237"/>
      <c r="Q13" s="1238"/>
      <c r="R13" s="1237"/>
      <c r="S13" s="1239"/>
      <c r="T13" s="1240" t="s">
        <v>507</v>
      </c>
      <c r="U13" s="1241"/>
      <c r="V13" s="1241"/>
      <c r="W13" s="1241"/>
      <c r="X13" s="1241"/>
      <c r="Y13" s="1241"/>
      <c r="Z13" s="1241"/>
      <c r="AA13" s="1241"/>
      <c r="AB13" s="1241"/>
      <c r="AC13" s="1241"/>
      <c r="AD13" s="1241"/>
      <c r="AE13" s="1241"/>
      <c r="AF13" s="1241"/>
      <c r="AG13" s="1241"/>
      <c r="AH13" s="1241"/>
      <c r="AI13" s="1241"/>
      <c r="AJ13" s="1241"/>
      <c r="AK13" s="1241"/>
      <c r="AL13" s="1241"/>
      <c r="AM13" s="1241"/>
      <c r="AO13" s="1172"/>
      <c r="AP13" s="1172" t="str">
        <f t="shared" si="0"/>
        <v>Добавить источник для дифференциации</v>
      </c>
      <c r="AQ13" s="1172"/>
      <c r="AR13" s="1172"/>
      <c r="AS13" s="1563">
        <v>0</v>
      </c>
    </row>
    <row r="14" spans="1:45" s="4275" customFormat="1" ht="0.75" hidden="1" customHeight="1">
      <c r="A14" s="1889"/>
      <c r="B14" s="1889"/>
      <c r="C14" s="1889"/>
      <c r="D14" s="1889"/>
      <c r="E14" s="5496"/>
      <c r="F14" s="5495"/>
      <c r="G14" s="1889"/>
      <c r="H14" s="1889"/>
      <c r="I14" s="1889"/>
      <c r="J14" s="1889"/>
      <c r="K14" s="1889"/>
      <c r="L14" s="1301"/>
      <c r="M14" s="1890"/>
      <c r="N14" s="1890"/>
      <c r="O14" s="1556"/>
      <c r="P14" s="1237"/>
      <c r="Q14" s="1238"/>
      <c r="R14" s="1237"/>
      <c r="S14" s="1243"/>
      <c r="T14" s="1244" t="s">
        <v>312</v>
      </c>
      <c r="U14" s="1245"/>
      <c r="V14" s="1245"/>
      <c r="W14" s="1245"/>
      <c r="X14" s="1245"/>
      <c r="Y14" s="1245"/>
      <c r="Z14" s="1245"/>
      <c r="AA14" s="1245"/>
      <c r="AB14" s="1245"/>
      <c r="AC14" s="1245"/>
      <c r="AD14" s="1245"/>
      <c r="AE14" s="1245"/>
      <c r="AF14" s="1245"/>
      <c r="AG14" s="1245"/>
      <c r="AH14" s="1245"/>
      <c r="AI14" s="1245"/>
      <c r="AJ14" s="1245"/>
      <c r="AK14" s="1245"/>
      <c r="AL14" s="1245"/>
      <c r="AM14" s="1245"/>
      <c r="AO14" s="1172"/>
      <c r="AP14" s="1172" t="str">
        <f t="shared" si="0"/>
        <v>Добавить централизованную систему для дифференциации</v>
      </c>
      <c r="AQ14" s="1172"/>
      <c r="AR14" s="1172"/>
      <c r="AS14" s="1563">
        <v>0</v>
      </c>
    </row>
    <row r="15" spans="1:45" s="4275" customFormat="1" ht="0.75" hidden="1" customHeight="1">
      <c r="A15" s="1889"/>
      <c r="B15" s="1889"/>
      <c r="C15" s="1889"/>
      <c r="D15" s="1889"/>
      <c r="E15" s="5495"/>
      <c r="F15" s="1889"/>
      <c r="G15" s="1889"/>
      <c r="H15" s="1889"/>
      <c r="I15" s="1889"/>
      <c r="J15" s="1889"/>
      <c r="K15" s="1889"/>
      <c r="L15" s="1301"/>
      <c r="M15" s="1890"/>
      <c r="N15" s="1890"/>
      <c r="O15" s="1556"/>
      <c r="P15" s="1237"/>
      <c r="Q15" s="1238"/>
      <c r="R15" s="1237"/>
      <c r="S15" s="1243"/>
      <c r="T15" s="1246" t="s">
        <v>360</v>
      </c>
      <c r="U15" s="1245"/>
      <c r="V15" s="1245"/>
      <c r="W15" s="1245"/>
      <c r="X15" s="1245"/>
      <c r="Y15" s="1245"/>
      <c r="Z15" s="1245"/>
      <c r="AA15" s="1245"/>
      <c r="AB15" s="1245"/>
      <c r="AC15" s="1245"/>
      <c r="AD15" s="1245"/>
      <c r="AE15" s="1245"/>
      <c r="AF15" s="1245"/>
      <c r="AG15" s="1245"/>
      <c r="AH15" s="1245"/>
      <c r="AI15" s="1245"/>
      <c r="AJ15" s="1245"/>
      <c r="AK15" s="1245"/>
      <c r="AL15" s="1245"/>
      <c r="AM15" s="1245"/>
      <c r="AO15" s="1172"/>
      <c r="AP15" s="1172" t="str">
        <f t="shared" si="0"/>
        <v>Добавить территорию для дифференциации</v>
      </c>
      <c r="AQ15" s="1172"/>
      <c r="AR15" s="1172"/>
      <c r="AS15" s="1563">
        <v>0</v>
      </c>
    </row>
    <row r="16" spans="1:45" ht="14.25" hidden="1" customHeight="1">
      <c r="AS16" s="1552">
        <v>0</v>
      </c>
    </row>
    <row r="17" spans="1:45" ht="14.25" hidden="1" customHeight="1">
      <c r="AD17" s="1281"/>
      <c r="AE17" s="1281"/>
      <c r="AF17" s="1281"/>
      <c r="AG17" s="1282"/>
      <c r="AH17" s="5467"/>
      <c r="AI17" s="5466" t="s">
        <v>66</v>
      </c>
      <c r="AJ17" s="5467"/>
      <c r="AK17" s="5466" t="s">
        <v>66</v>
      </c>
      <c r="AS17" s="1552">
        <v>0</v>
      </c>
    </row>
    <row r="18" spans="1:45" ht="14.25" hidden="1" customHeight="1">
      <c r="AD18" s="1281"/>
      <c r="AE18" s="1281"/>
      <c r="AF18" s="1281"/>
      <c r="AG18" s="266" t="str">
        <f>AH17&amp;"-"&amp;AJ17</f>
        <v>-</v>
      </c>
      <c r="AH18" s="5466"/>
      <c r="AI18" s="5466"/>
      <c r="AJ18" s="5466"/>
      <c r="AK18" s="5466"/>
      <c r="AS18" s="1552">
        <v>0</v>
      </c>
    </row>
    <row r="19" spans="1:45" ht="14.25" hidden="1" customHeight="1">
      <c r="AS19" s="1552">
        <v>0</v>
      </c>
    </row>
    <row r="20" spans="1:45" s="4274" customFormat="1" ht="14.25" hidden="1" customHeight="1">
      <c r="A20" s="1552"/>
      <c r="B20" s="1552"/>
      <c r="C20" s="1552"/>
      <c r="D20" s="1552"/>
      <c r="E20" s="1552"/>
      <c r="F20" s="1552"/>
      <c r="G20" s="1552"/>
      <c r="H20" s="1552"/>
      <c r="I20" s="1552"/>
      <c r="J20" s="1552"/>
      <c r="K20" s="1552"/>
      <c r="L20" s="1854"/>
      <c r="M20" s="1880"/>
      <c r="N20" s="1880"/>
      <c r="O20" s="1266" t="s">
        <v>508</v>
      </c>
      <c r="P20" s="1283"/>
      <c r="Q20" s="1292"/>
      <c r="R20" s="1292"/>
      <c r="S20" s="667"/>
      <c r="Z20" s="1288"/>
      <c r="AB20" s="1288"/>
      <c r="AH20" s="1288"/>
      <c r="AJ20" s="1288"/>
      <c r="AN20" s="1557"/>
      <c r="AO20" s="1557"/>
      <c r="AP20" s="1557"/>
      <c r="AQ20" s="1557"/>
      <c r="AR20" s="1557"/>
      <c r="AS20" s="1287">
        <v>0</v>
      </c>
    </row>
    <row r="21" spans="1:45" s="4274" customFormat="1" ht="14.25" hidden="1" customHeight="1">
      <c r="A21" s="1552"/>
      <c r="B21" s="1552"/>
      <c r="C21" s="1552"/>
      <c r="D21" s="1552"/>
      <c r="E21" s="1552"/>
      <c r="F21" s="1552"/>
      <c r="G21" s="1552"/>
      <c r="H21" s="1552"/>
      <c r="I21" s="1552"/>
      <c r="J21" s="1552"/>
      <c r="K21" s="1552"/>
      <c r="L21" s="1854"/>
      <c r="M21" s="1880"/>
      <c r="N21" s="1880"/>
      <c r="O21" s="1880"/>
      <c r="P21" s="1283"/>
      <c r="Q21" s="1292"/>
      <c r="R21" s="1292"/>
      <c r="S21" s="667"/>
      <c r="AN21" s="1557"/>
      <c r="AO21" s="1557"/>
      <c r="AP21" s="1557"/>
      <c r="AQ21" s="1557"/>
      <c r="AR21" s="1557"/>
      <c r="AS21" s="1287">
        <v>0</v>
      </c>
    </row>
    <row r="22" spans="1:45" s="4274" customFormat="1" ht="14.25" hidden="1" customHeight="1">
      <c r="A22" s="1552"/>
      <c r="B22" s="1552"/>
      <c r="C22" s="1552"/>
      <c r="D22" s="1552"/>
      <c r="E22" s="1552"/>
      <c r="F22" s="1552"/>
      <c r="G22" s="1552"/>
      <c r="H22" s="1552"/>
      <c r="I22" s="1552"/>
      <c r="J22" s="1552"/>
      <c r="K22" s="1552"/>
      <c r="L22" s="1854"/>
      <c r="M22" s="1880"/>
      <c r="N22" s="1880"/>
      <c r="O22" s="1231" t="s">
        <v>509</v>
      </c>
      <c r="P22" s="1283"/>
      <c r="Q22" s="1292"/>
      <c r="R22" s="1292"/>
      <c r="S22" s="667"/>
      <c r="T22" s="1287" t="s">
        <v>510</v>
      </c>
      <c r="AA22" s="533" t="s">
        <v>511</v>
      </c>
      <c r="AC22" s="533" t="s">
        <v>512</v>
      </c>
      <c r="AD22" s="1287" t="s">
        <v>510</v>
      </c>
      <c r="AI22" s="533" t="s">
        <v>513</v>
      </c>
      <c r="AK22" s="533" t="s">
        <v>512</v>
      </c>
      <c r="AN22" s="1557"/>
      <c r="AO22" s="1557"/>
      <c r="AP22" s="1557"/>
      <c r="AQ22" s="1557"/>
      <c r="AR22" s="1557"/>
      <c r="AS22" s="1287">
        <v>0</v>
      </c>
    </row>
    <row r="23" spans="1:45" ht="14.25" hidden="1" customHeight="1">
      <c r="O23" s="1231"/>
      <c r="AS23" s="1552">
        <v>0</v>
      </c>
    </row>
    <row r="24" spans="1:45" ht="14.25" hidden="1" customHeight="1">
      <c r="O24" s="1231"/>
      <c r="AS24" s="1552">
        <v>0</v>
      </c>
    </row>
    <row r="25" spans="1:45" ht="14.65" customHeight="1">
      <c r="Q25" s="314"/>
      <c r="R25" s="314"/>
      <c r="S25" s="1196"/>
      <c r="T25" s="395"/>
      <c r="U25" s="395"/>
      <c r="V25" s="1556"/>
      <c r="W25" s="1556"/>
      <c r="X25" s="1556"/>
      <c r="Y25" s="1556"/>
      <c r="Z25" s="1556"/>
      <c r="AA25" s="1556"/>
      <c r="AB25" s="1556"/>
      <c r="AC25" s="1556"/>
      <c r="AD25" s="1556"/>
      <c r="AE25" s="1556"/>
      <c r="AF25" s="1556"/>
      <c r="AG25" s="1556"/>
      <c r="AH25" s="1556"/>
      <c r="AI25" s="1556"/>
      <c r="AJ25" s="1556"/>
      <c r="AK25" s="1556"/>
      <c r="AS25" s="1552">
        <v>14</v>
      </c>
    </row>
    <row r="26" spans="1:45" ht="14.65" customHeight="1">
      <c r="Q26" s="314"/>
      <c r="R26" s="314"/>
      <c r="S26" s="5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450"/>
      <c r="U26" s="5450"/>
      <c r="V26" s="5450"/>
      <c r="W26" s="5450"/>
      <c r="X26" s="5450"/>
      <c r="Y26" s="5450"/>
      <c r="Z26" s="5450"/>
      <c r="AA26" s="5450"/>
      <c r="AB26" s="5450"/>
      <c r="AC26" s="5450"/>
      <c r="AD26" s="5450"/>
      <c r="AE26" s="5450"/>
      <c r="AF26" s="5450"/>
      <c r="AG26" s="5450"/>
      <c r="AH26" s="5450"/>
      <c r="AI26" s="5450"/>
      <c r="AJ26" s="5450"/>
      <c r="AK26" s="1164"/>
      <c r="AS26" s="1552">
        <v>14</v>
      </c>
    </row>
    <row r="27" spans="1:45" ht="14.65" customHeight="1">
      <c r="Q27" s="314"/>
      <c r="R27" s="314"/>
      <c r="S27" s="5423" t="str">
        <f>IF(org=0,"Не определено",org)</f>
        <v>КГУП "Примтеплоэнерго"</v>
      </c>
      <c r="T27" s="5423"/>
      <c r="U27" s="5423"/>
      <c r="V27" s="5423"/>
      <c r="W27" s="5423"/>
      <c r="X27" s="5423"/>
      <c r="Y27" s="5423"/>
      <c r="Z27" s="5423"/>
      <c r="AA27" s="5423"/>
      <c r="AB27" s="5423"/>
      <c r="AC27" s="5423"/>
      <c r="AD27" s="5423"/>
      <c r="AE27" s="5423"/>
      <c r="AF27" s="5423"/>
      <c r="AG27" s="5423"/>
      <c r="AH27" s="5423"/>
      <c r="AI27" s="5423"/>
      <c r="AJ27" s="5423"/>
      <c r="AK27" s="1164"/>
      <c r="AS27" s="1552">
        <v>14</v>
      </c>
    </row>
    <row r="28" spans="1:45" ht="14.25" hidden="1" customHeight="1">
      <c r="Q28" s="314"/>
      <c r="R28" s="314"/>
      <c r="S28" s="1196"/>
      <c r="T28" s="395"/>
      <c r="U28" s="395"/>
      <c r="V28" s="260"/>
      <c r="W28" s="260"/>
      <c r="X28" s="260"/>
      <c r="Y28" s="260"/>
      <c r="Z28" s="260"/>
      <c r="AA28" s="260"/>
      <c r="AB28" s="260"/>
      <c r="AC28" s="260"/>
      <c r="AD28" s="260"/>
      <c r="AE28" s="260"/>
      <c r="AF28" s="260"/>
      <c r="AG28" s="260"/>
      <c r="AH28" s="260"/>
      <c r="AI28" s="260"/>
      <c r="AJ28" s="260"/>
      <c r="AK28" s="260"/>
      <c r="AL28" s="1556"/>
      <c r="AS28" s="1552">
        <v>0</v>
      </c>
    </row>
    <row r="29" spans="1:45" s="4284" customFormat="1" ht="25.5" hidden="1" customHeight="1">
      <c r="A29" s="1169"/>
      <c r="B29" s="1169"/>
      <c r="C29" s="1169"/>
      <c r="D29" s="1169"/>
      <c r="E29" s="1169"/>
      <c r="F29" s="1169"/>
      <c r="G29" s="1169"/>
      <c r="H29" s="1169"/>
      <c r="I29" s="1169"/>
      <c r="J29" s="1169"/>
      <c r="K29" s="1169"/>
      <c r="L29" s="1301"/>
      <c r="M29" s="1169"/>
      <c r="N29" s="1169"/>
      <c r="O29" s="1169"/>
      <c r="S29" s="5460" t="s">
        <v>42</v>
      </c>
      <c r="T29" s="5460"/>
      <c r="U29" s="1293"/>
      <c r="V29" s="5462" t="str">
        <f>IF(TITLE_NAME_OR_PR_CHANGE="",IF(TITLE_NAME_OR_PR="","",TITLE_NAME_OR_PR),TITLE_NAME_OR_PR_CHANGE)</f>
        <v/>
      </c>
      <c r="W29" s="5462"/>
      <c r="X29" s="5462"/>
      <c r="Y29" s="5462"/>
      <c r="Z29" s="5462"/>
      <c r="AA29" s="5462"/>
      <c r="AB29" s="5462"/>
      <c r="AC29" s="1556"/>
      <c r="AD29" s="5462" t="str">
        <f>IF(TITLE_NAME_OR_PR_CHANGE="",IF(TITLE_NAME_OR_PR="","",TITLE_NAME_OR_PR),TITLE_NAME_OR_PR_CHANGE)</f>
        <v/>
      </c>
      <c r="AE29" s="5462"/>
      <c r="AF29" s="5462"/>
      <c r="AG29" s="5462"/>
      <c r="AH29" s="5462"/>
      <c r="AI29" s="5462"/>
      <c r="AJ29" s="5462"/>
      <c r="AK29" s="1556"/>
      <c r="AL29" s="1556"/>
      <c r="AM29" s="218"/>
      <c r="AN29" s="306"/>
      <c r="AO29" s="306"/>
      <c r="AP29" s="306"/>
      <c r="AQ29" s="306"/>
      <c r="AR29" s="306"/>
      <c r="AS29" s="356">
        <v>0</v>
      </c>
    </row>
    <row r="30" spans="1:45" s="4284" customFormat="1" ht="18.75" hidden="1" customHeight="1">
      <c r="A30" s="1169"/>
      <c r="B30" s="1169"/>
      <c r="C30" s="1169"/>
      <c r="D30" s="1169"/>
      <c r="E30" s="1169"/>
      <c r="F30" s="1169"/>
      <c r="G30" s="1169"/>
      <c r="H30" s="1169"/>
      <c r="I30" s="1169"/>
      <c r="J30" s="1169"/>
      <c r="K30" s="1169"/>
      <c r="L30" s="1301"/>
      <c r="M30" s="1169"/>
      <c r="N30" s="1169"/>
      <c r="O30" s="1169"/>
      <c r="S30" s="5460" t="s">
        <v>514</v>
      </c>
      <c r="T30" s="5460"/>
      <c r="U30" s="1293"/>
      <c r="V30" s="5461">
        <f>IF(TITLE_DATE_PR_CHANGE="",IF(TITLE_DATE_PR="","",TITLE_DATE_PR),TITLE_DATE_PR_CHANGE)</f>
        <v>45649.605891203704</v>
      </c>
      <c r="W30" s="5461"/>
      <c r="X30" s="5461"/>
      <c r="Y30" s="5461"/>
      <c r="Z30" s="5461"/>
      <c r="AA30" s="5461"/>
      <c r="AB30" s="5461"/>
      <c r="AC30" s="1556"/>
      <c r="AD30" s="5461">
        <f>IF(TITLE_DATE_PR_CHANGE="",IF(TITLE_DATE_PR="","",TITLE_DATE_PR),TITLE_DATE_PR_CHANGE)</f>
        <v>45649.605891203704</v>
      </c>
      <c r="AE30" s="5461"/>
      <c r="AF30" s="5461"/>
      <c r="AG30" s="5461"/>
      <c r="AH30" s="5461"/>
      <c r="AI30" s="5461"/>
      <c r="AJ30" s="5461"/>
      <c r="AK30" s="1556"/>
      <c r="AL30" s="1556"/>
      <c r="AM30" s="218"/>
      <c r="AN30" s="306"/>
      <c r="AO30" s="306"/>
      <c r="AP30" s="306"/>
      <c r="AQ30" s="306"/>
      <c r="AR30" s="306"/>
      <c r="AS30" s="356">
        <v>0</v>
      </c>
    </row>
    <row r="31" spans="1:45" s="4284" customFormat="1" ht="18.75" hidden="1" customHeight="1">
      <c r="A31" s="1169"/>
      <c r="B31" s="1169"/>
      <c r="C31" s="1169"/>
      <c r="D31" s="1169"/>
      <c r="E31" s="1169"/>
      <c r="F31" s="1169"/>
      <c r="G31" s="1169"/>
      <c r="H31" s="1169"/>
      <c r="I31" s="1169"/>
      <c r="J31" s="1169"/>
      <c r="K31" s="1169"/>
      <c r="L31" s="1301"/>
      <c r="M31" s="1169"/>
      <c r="N31" s="1169"/>
      <c r="O31" s="1169"/>
      <c r="S31" s="5460" t="s">
        <v>515</v>
      </c>
      <c r="T31" s="5460"/>
      <c r="U31" s="1293"/>
      <c r="V31" s="5462" t="str">
        <f>IF(TITLE_NUMBER_PR_CHANGE="",IF(TITLE_NUMBER_PR="","",TITLE_NUMBER_PR),TITLE_NUMBER_PR_CHANGE)</f>
        <v>27-6414</v>
      </c>
      <c r="W31" s="5462"/>
      <c r="X31" s="5462"/>
      <c r="Y31" s="5462"/>
      <c r="Z31" s="5462"/>
      <c r="AA31" s="5462"/>
      <c r="AB31" s="5462"/>
      <c r="AC31" s="1556"/>
      <c r="AD31" s="5462" t="str">
        <f>IF(TITLE_NUMBER_PR_CHANGE="",IF(TITLE_NUMBER_PR="","",TITLE_NUMBER_PR),TITLE_NUMBER_PR_CHANGE)</f>
        <v>27-6414</v>
      </c>
      <c r="AE31" s="5462"/>
      <c r="AF31" s="5462"/>
      <c r="AG31" s="5462"/>
      <c r="AH31" s="5462"/>
      <c r="AI31" s="5462"/>
      <c r="AJ31" s="5462"/>
      <c r="AK31" s="1556"/>
      <c r="AL31" s="1556"/>
      <c r="AM31" s="218"/>
      <c r="AN31" s="306"/>
      <c r="AO31" s="306"/>
      <c r="AP31" s="306"/>
      <c r="AQ31" s="306"/>
      <c r="AR31" s="306"/>
      <c r="AS31" s="356">
        <v>0</v>
      </c>
    </row>
    <row r="32" spans="1:45" s="4284" customFormat="1" ht="18.75" hidden="1" customHeight="1">
      <c r="A32" s="1169"/>
      <c r="B32" s="1169"/>
      <c r="C32" s="1169"/>
      <c r="D32" s="1169"/>
      <c r="E32" s="1169"/>
      <c r="F32" s="1169"/>
      <c r="G32" s="1169"/>
      <c r="H32" s="1169"/>
      <c r="I32" s="1169"/>
      <c r="J32" s="1169"/>
      <c r="K32" s="1169"/>
      <c r="L32" s="1301"/>
      <c r="M32" s="1169"/>
      <c r="N32" s="1169"/>
      <c r="O32" s="1169"/>
      <c r="S32" s="5460" t="s">
        <v>43</v>
      </c>
      <c r="T32" s="5460"/>
      <c r="U32" s="1293"/>
      <c r="V32" s="5462" t="str">
        <f>IF(TITLE_IST_PUB_CHANGE="",IF(TITLE_IST_PUB="","",TITLE_IST_PUB),TITLE_IST_PUB_CHANGE)</f>
        <v/>
      </c>
      <c r="W32" s="5462"/>
      <c r="X32" s="5462"/>
      <c r="Y32" s="5462"/>
      <c r="Z32" s="5462"/>
      <c r="AA32" s="5462"/>
      <c r="AB32" s="5462"/>
      <c r="AC32" s="1556"/>
      <c r="AD32" s="5462" t="str">
        <f>IF(TITLE_IST_PUB_CHANGE="",IF(TITLE_IST_PUB="","",TITLE_IST_PUB),TITLE_IST_PUB_CHANGE)</f>
        <v/>
      </c>
      <c r="AE32" s="5462"/>
      <c r="AF32" s="5462"/>
      <c r="AG32" s="5462"/>
      <c r="AH32" s="5462"/>
      <c r="AI32" s="5462"/>
      <c r="AJ32" s="5462"/>
      <c r="AK32" s="1556"/>
      <c r="AL32" s="1556"/>
      <c r="AM32" s="218"/>
      <c r="AN32" s="306"/>
      <c r="AO32" s="306"/>
      <c r="AP32" s="306"/>
      <c r="AQ32" s="306"/>
      <c r="AR32" s="306"/>
      <c r="AS32" s="356">
        <v>0</v>
      </c>
    </row>
    <row r="33" spans="1:45" ht="14.25" hidden="1" customHeight="1">
      <c r="Q33" s="314"/>
      <c r="R33" s="314"/>
      <c r="S33" s="1196"/>
      <c r="T33" s="395"/>
      <c r="U33" s="395"/>
      <c r="V33" s="260"/>
      <c r="W33" s="260"/>
      <c r="X33" s="260"/>
      <c r="Y33" s="260"/>
      <c r="Z33" s="260"/>
      <c r="AA33" s="260"/>
      <c r="AB33" s="260"/>
      <c r="AC33" s="260"/>
      <c r="AD33" s="260"/>
      <c r="AE33" s="260"/>
      <c r="AF33" s="260"/>
      <c r="AG33" s="260"/>
      <c r="AH33" s="260"/>
      <c r="AI33" s="260"/>
      <c r="AJ33" s="260"/>
      <c r="AK33" s="260"/>
      <c r="AL33" s="1556"/>
      <c r="AS33" s="1552">
        <v>0</v>
      </c>
    </row>
    <row r="34" spans="1:45" s="4284" customFormat="1" ht="18.75" hidden="1" customHeight="1">
      <c r="A34" s="1169"/>
      <c r="B34" s="1169"/>
      <c r="C34" s="1169"/>
      <c r="D34" s="1169"/>
      <c r="E34" s="1169"/>
      <c r="F34" s="1169"/>
      <c r="G34" s="1169"/>
      <c r="H34" s="1169"/>
      <c r="I34" s="1169"/>
      <c r="J34" s="1169"/>
      <c r="K34" s="1169"/>
      <c r="L34" s="1301"/>
      <c r="M34" s="1169"/>
      <c r="N34" s="1169"/>
      <c r="O34" s="1169"/>
      <c r="S34" s="5460" t="s">
        <v>516</v>
      </c>
      <c r="T34" s="5460"/>
      <c r="U34" s="1293"/>
      <c r="V34" s="5461">
        <f>IF(TITLE_DATE_PR_CHANGE="",IF(TITLE_DATE_PR="","",TITLE_DATE_PR),TITLE_DATE_PR_CHANGE)</f>
        <v>45649.605891203704</v>
      </c>
      <c r="W34" s="5461"/>
      <c r="X34" s="5461"/>
      <c r="Y34" s="5461"/>
      <c r="Z34" s="5461"/>
      <c r="AA34" s="5461"/>
      <c r="AB34" s="5461"/>
      <c r="AC34" s="1556"/>
      <c r="AD34" s="5461">
        <f>IF(TITLE_DATE_PR_CHANGE="",IF(TITLE_DATE_PR="","",TITLE_DATE_PR),TITLE_DATE_PR_CHANGE)</f>
        <v>45649.605891203704</v>
      </c>
      <c r="AE34" s="5461"/>
      <c r="AF34" s="5461"/>
      <c r="AG34" s="5461"/>
      <c r="AH34" s="5461"/>
      <c r="AI34" s="5461"/>
      <c r="AJ34" s="5461"/>
      <c r="AK34" s="1556"/>
      <c r="AL34" s="1556"/>
      <c r="AM34" s="218"/>
      <c r="AN34" s="306"/>
      <c r="AO34" s="306"/>
      <c r="AP34" s="306"/>
      <c r="AQ34" s="306"/>
      <c r="AR34" s="306"/>
      <c r="AS34" s="356">
        <v>0</v>
      </c>
    </row>
    <row r="35" spans="1:45" s="4284" customFormat="1" ht="18.75" hidden="1" customHeight="1">
      <c r="A35" s="1169"/>
      <c r="B35" s="1169"/>
      <c r="C35" s="1169"/>
      <c r="D35" s="1169"/>
      <c r="E35" s="1169"/>
      <c r="F35" s="1169"/>
      <c r="G35" s="1169"/>
      <c r="H35" s="1169"/>
      <c r="I35" s="1169"/>
      <c r="J35" s="1169"/>
      <c r="K35" s="1169"/>
      <c r="L35" s="1301"/>
      <c r="M35" s="1169"/>
      <c r="N35" s="1169"/>
      <c r="O35" s="1169"/>
      <c r="S35" s="5460" t="s">
        <v>517</v>
      </c>
      <c r="T35" s="5460"/>
      <c r="U35" s="1293"/>
      <c r="V35" s="5462" t="str">
        <f>IF(TITLE_NUMBER_PR_CHANGE="",IF(TITLE_NUMBER_PR="","",TITLE_NUMBER_PR),TITLE_NUMBER_PR_CHANGE)</f>
        <v>27-6414</v>
      </c>
      <c r="W35" s="5462"/>
      <c r="X35" s="5462"/>
      <c r="Y35" s="5462"/>
      <c r="Z35" s="5462"/>
      <c r="AA35" s="5462"/>
      <c r="AB35" s="5462"/>
      <c r="AC35" s="1556"/>
      <c r="AD35" s="5462" t="str">
        <f>IF(TITLE_NUMBER_PR_CHANGE="",IF(TITLE_NUMBER_PR="","",TITLE_NUMBER_PR),TITLE_NUMBER_PR_CHANGE)</f>
        <v>27-6414</v>
      </c>
      <c r="AE35" s="5462"/>
      <c r="AF35" s="5462"/>
      <c r="AG35" s="5462"/>
      <c r="AH35" s="5462"/>
      <c r="AI35" s="5462"/>
      <c r="AJ35" s="5462"/>
      <c r="AK35" s="1556"/>
      <c r="AL35" s="1556"/>
      <c r="AM35" s="218"/>
      <c r="AN35" s="306"/>
      <c r="AO35" s="306"/>
      <c r="AP35" s="306"/>
      <c r="AQ35" s="306"/>
      <c r="AR35" s="306"/>
      <c r="AS35" s="356">
        <v>0</v>
      </c>
    </row>
    <row r="36" spans="1:45" s="4284" customFormat="1" ht="0" hidden="1" customHeight="1">
      <c r="A36" s="1169"/>
      <c r="B36" s="1169"/>
      <c r="C36" s="1169"/>
      <c r="D36" s="1169"/>
      <c r="E36" s="1169"/>
      <c r="F36" s="1169"/>
      <c r="G36" s="1169"/>
      <c r="H36" s="1169"/>
      <c r="I36" s="1169"/>
      <c r="J36" s="1169"/>
      <c r="K36" s="1169"/>
      <c r="L36" s="1301"/>
      <c r="M36" s="1169"/>
      <c r="N36" s="1169"/>
      <c r="O36" s="1169"/>
      <c r="S36" s="1556"/>
      <c r="T36" s="1556"/>
      <c r="U36" s="1885"/>
      <c r="V36" s="1556"/>
      <c r="W36" s="1556"/>
      <c r="X36" s="1556"/>
      <c r="Y36" s="1556"/>
      <c r="Z36" s="1556"/>
      <c r="AA36" s="1556"/>
      <c r="AB36" s="1556"/>
      <c r="AC36" s="1563" t="s">
        <v>518</v>
      </c>
      <c r="AD36" s="1556"/>
      <c r="AE36" s="1556"/>
      <c r="AF36" s="1556"/>
      <c r="AG36" s="1556"/>
      <c r="AH36" s="1556"/>
      <c r="AI36" s="1556"/>
      <c r="AJ36" s="1556"/>
      <c r="AK36" s="1563" t="s">
        <v>518</v>
      </c>
      <c r="AN36" s="306"/>
      <c r="AO36" s="306"/>
      <c r="AP36" s="306"/>
      <c r="AQ36" s="306"/>
      <c r="AR36" s="306"/>
      <c r="AS36" s="356">
        <v>0</v>
      </c>
    </row>
    <row r="37" spans="1:45" ht="14.65" customHeight="1">
      <c r="Q37" s="314"/>
      <c r="R37" s="314"/>
      <c r="S37" s="1196"/>
      <c r="T37" s="395"/>
      <c r="U37" s="1165"/>
      <c r="V37" s="5481"/>
      <c r="W37" s="5481"/>
      <c r="X37" s="5481"/>
      <c r="Y37" s="5481"/>
      <c r="Z37" s="5481"/>
      <c r="AA37" s="5481"/>
      <c r="AB37" s="5481"/>
      <c r="AC37" s="5481"/>
      <c r="AD37" s="5481"/>
      <c r="AE37" s="5481"/>
      <c r="AF37" s="5481"/>
      <c r="AG37" s="5481"/>
      <c r="AH37" s="5481"/>
      <c r="AI37" s="5481"/>
      <c r="AJ37" s="5481"/>
      <c r="AK37" s="5481"/>
      <c r="AS37" s="1552">
        <v>14</v>
      </c>
    </row>
    <row r="38" spans="1:45" ht="14.65" customHeight="1">
      <c r="Q38" s="314"/>
      <c r="R38" s="314"/>
      <c r="S38" s="5328" t="s">
        <v>393</v>
      </c>
      <c r="T38" s="5328"/>
      <c r="U38" s="5328"/>
      <c r="V38" s="5328"/>
      <c r="W38" s="5328"/>
      <c r="X38" s="5328"/>
      <c r="Y38" s="5328"/>
      <c r="Z38" s="5328"/>
      <c r="AA38" s="5328"/>
      <c r="AB38" s="5328"/>
      <c r="AC38" s="5328"/>
      <c r="AD38" s="5328"/>
      <c r="AE38" s="5328"/>
      <c r="AF38" s="5328"/>
      <c r="AG38" s="5328"/>
      <c r="AH38" s="5328"/>
      <c r="AI38" s="5328"/>
      <c r="AJ38" s="5328"/>
      <c r="AK38" s="5328"/>
      <c r="AL38" s="5328"/>
      <c r="AM38" s="5328" t="s">
        <v>394</v>
      </c>
      <c r="AS38" s="1552">
        <v>14</v>
      </c>
    </row>
    <row r="39" spans="1:45" ht="14.65" customHeight="1">
      <c r="Q39" s="314"/>
      <c r="R39" s="314"/>
      <c r="S39" s="5482" t="s">
        <v>88</v>
      </c>
      <c r="T39" s="5431" t="s">
        <v>519</v>
      </c>
      <c r="U39" s="275"/>
      <c r="V39" s="5483" t="s">
        <v>520</v>
      </c>
      <c r="W39" s="5484"/>
      <c r="X39" s="5484"/>
      <c r="Y39" s="5484"/>
      <c r="Z39" s="5484"/>
      <c r="AA39" s="5484"/>
      <c r="AB39" s="5485"/>
      <c r="AC39" s="5486" t="s">
        <v>521</v>
      </c>
      <c r="AD39" s="5483" t="s">
        <v>520</v>
      </c>
      <c r="AE39" s="5484"/>
      <c r="AF39" s="5484"/>
      <c r="AG39" s="5484"/>
      <c r="AH39" s="5484"/>
      <c r="AI39" s="5484"/>
      <c r="AJ39" s="5485"/>
      <c r="AK39" s="5486" t="s">
        <v>522</v>
      </c>
      <c r="AL39" s="5489" t="s">
        <v>523</v>
      </c>
      <c r="AM39" s="5328"/>
      <c r="AS39" s="1552">
        <v>14</v>
      </c>
    </row>
    <row r="40" spans="1:45" ht="35.65" customHeight="1">
      <c r="Q40" s="314"/>
      <c r="R40" s="314"/>
      <c r="S40" s="5482"/>
      <c r="T40" s="5431"/>
      <c r="U40" s="956"/>
      <c r="V40" s="5403" t="s">
        <v>524</v>
      </c>
      <c r="W40" s="5478" t="s">
        <v>525</v>
      </c>
      <c r="X40" s="5309" t="s">
        <v>526</v>
      </c>
      <c r="Y40" s="5308"/>
      <c r="Z40" s="5309" t="s">
        <v>539</v>
      </c>
      <c r="AA40" s="5314"/>
      <c r="AB40" s="5308"/>
      <c r="AC40" s="5487"/>
      <c r="AD40" s="5403" t="s">
        <v>524</v>
      </c>
      <c r="AE40" s="5478" t="s">
        <v>525</v>
      </c>
      <c r="AF40" s="5309" t="s">
        <v>526</v>
      </c>
      <c r="AG40" s="5308"/>
      <c r="AH40" s="5309" t="s">
        <v>527</v>
      </c>
      <c r="AI40" s="5314"/>
      <c r="AJ40" s="5308"/>
      <c r="AK40" s="5487"/>
      <c r="AL40" s="5490"/>
      <c r="AM40" s="5328"/>
      <c r="AS40" s="1552">
        <v>34</v>
      </c>
    </row>
    <row r="41" spans="1:45" ht="35.65" customHeight="1">
      <c r="A41" s="1187"/>
      <c r="B41" s="1187" t="s">
        <v>167</v>
      </c>
      <c r="C41" s="1187" t="s">
        <v>168</v>
      </c>
      <c r="D41" s="1187" t="s">
        <v>169</v>
      </c>
      <c r="E41" s="1231" t="s">
        <v>528</v>
      </c>
      <c r="F41" s="1231" t="s">
        <v>529</v>
      </c>
      <c r="G41" s="1231" t="s">
        <v>530</v>
      </c>
      <c r="H41" s="1231" t="s">
        <v>531</v>
      </c>
      <c r="I41" s="1231" t="s">
        <v>532</v>
      </c>
      <c r="J41" s="1231" t="s">
        <v>533</v>
      </c>
      <c r="K41" s="1231" t="s">
        <v>534</v>
      </c>
      <c r="L41" s="1231" t="s">
        <v>509</v>
      </c>
      <c r="Q41" s="314"/>
      <c r="R41" s="314"/>
      <c r="S41" s="5482"/>
      <c r="T41" s="5431"/>
      <c r="U41" s="240"/>
      <c r="V41" s="5455"/>
      <c r="W41" s="5479"/>
      <c r="X41" s="1853" t="s">
        <v>535</v>
      </c>
      <c r="Y41" s="1853" t="s">
        <v>536</v>
      </c>
      <c r="Z41" s="1853" t="s">
        <v>537</v>
      </c>
      <c r="AA41" s="5436" t="s">
        <v>538</v>
      </c>
      <c r="AB41" s="5449"/>
      <c r="AC41" s="5488"/>
      <c r="AD41" s="5455"/>
      <c r="AE41" s="5479"/>
      <c r="AF41" s="1853" t="s">
        <v>535</v>
      </c>
      <c r="AG41" s="1853" t="s">
        <v>536</v>
      </c>
      <c r="AH41" s="1853" t="s">
        <v>537</v>
      </c>
      <c r="AI41" s="5436" t="s">
        <v>538</v>
      </c>
      <c r="AJ41" s="5449"/>
      <c r="AK41" s="5488"/>
      <c r="AL41" s="5491"/>
      <c r="AM41" s="5328"/>
      <c r="AS41" s="1552">
        <v>34</v>
      </c>
    </row>
    <row r="42" spans="1:45" s="4299" customFormat="1" ht="11.25" hidden="1" customHeight="1">
      <c r="A42" s="1187"/>
      <c r="B42" s="1187"/>
      <c r="C42" s="1187"/>
      <c r="D42" s="1187"/>
      <c r="E42" s="1187"/>
      <c r="F42" s="1187"/>
      <c r="G42" s="1187"/>
      <c r="H42" s="1187"/>
      <c r="I42" s="1187"/>
      <c r="J42" s="1187"/>
      <c r="K42" s="1187"/>
      <c r="L42" s="1231"/>
      <c r="M42" s="1880"/>
      <c r="N42" s="1880"/>
      <c r="O42" s="1880"/>
      <c r="P42" s="1167"/>
      <c r="Q42" s="1168"/>
      <c r="R42" s="1175">
        <v>1</v>
      </c>
      <c r="S42" s="1198" t="s">
        <v>136</v>
      </c>
      <c r="T42" s="1176" t="s">
        <v>103</v>
      </c>
      <c r="U42" s="1166" t="str">
        <f ca="1">OFFSET(U42,0,-1)</f>
        <v>2</v>
      </c>
      <c r="V42" s="1871">
        <f ca="1">OFFSET(V42,0,-1)+1</f>
        <v>3</v>
      </c>
      <c r="W42" s="1871"/>
      <c r="X42" s="1871">
        <f ca="1">OFFSET(X42,0,-1)+1</f>
        <v>1</v>
      </c>
      <c r="Y42" s="1871">
        <f ca="1">OFFSET(Y42,0,-1)+1</f>
        <v>2</v>
      </c>
      <c r="Z42" s="1871">
        <f ca="1">OFFSET(Z42,0,-1)+1</f>
        <v>3</v>
      </c>
      <c r="AA42" s="5480">
        <f ca="1">OFFSET(AA42,0,-1)+1</f>
        <v>4</v>
      </c>
      <c r="AB42" s="5480"/>
      <c r="AC42" s="1871">
        <f ca="1">OFFSET(AC42,0,-2)+1</f>
        <v>5</v>
      </c>
      <c r="AD42" s="1871">
        <f ca="1">OFFSET(AD42,0,-1)+1</f>
        <v>6</v>
      </c>
      <c r="AE42" s="1871"/>
      <c r="AF42" s="1871">
        <f ca="1">OFFSET(AF42,0,-1)+1</f>
        <v>1</v>
      </c>
      <c r="AG42" s="1871">
        <f ca="1">OFFSET(AG42,0,-1)+1</f>
        <v>2</v>
      </c>
      <c r="AH42" s="1871">
        <f ca="1">OFFSET(AH42,0,-1)+1</f>
        <v>3</v>
      </c>
      <c r="AI42" s="5480">
        <f ca="1">OFFSET(AI42,0,-1)+1</f>
        <v>4</v>
      </c>
      <c r="AJ42" s="5480"/>
      <c r="AK42" s="1871">
        <f ca="1">OFFSET(AK42,0,-2)+1</f>
        <v>5</v>
      </c>
      <c r="AL42" s="1166">
        <f ca="1">OFFSET(AL42,0,-1)</f>
        <v>5</v>
      </c>
      <c r="AM42" s="1871">
        <f ca="1">OFFSET(AM42,0,-1)+1</f>
        <v>6</v>
      </c>
      <c r="AN42" s="1557"/>
      <c r="AO42" s="1557"/>
      <c r="AP42" s="1557"/>
      <c r="AQ42" s="1557"/>
      <c r="AR42" s="1557"/>
      <c r="AS42" s="1562">
        <v>0</v>
      </c>
    </row>
    <row r="43" spans="1:45" ht="21.95" customHeight="1">
      <c r="A43" s="1188" t="s">
        <v>241</v>
      </c>
      <c r="B43" s="1188"/>
      <c r="C43" s="1188"/>
      <c r="D43" s="1188"/>
      <c r="E43" s="5495">
        <v>1</v>
      </c>
      <c r="F43" s="1188"/>
      <c r="G43" s="1188"/>
      <c r="H43" s="1188"/>
      <c r="I43" s="1188"/>
      <c r="J43" s="1188"/>
      <c r="K43" s="1188"/>
      <c r="L43" s="1231"/>
      <c r="M43" s="1531"/>
      <c r="N43" s="1531"/>
      <c r="O43" s="1531"/>
      <c r="P43" s="1511"/>
      <c r="Q43" s="298"/>
      <c r="R43" s="293"/>
      <c r="S43" s="1873">
        <f>INDEX(PT_DIFFERENTIATION_NUM_NTAR,MATCH(A43,PT_DIFFERENTIATION_NTAR_ID,0))</f>
        <v>0</v>
      </c>
      <c r="T43" s="1446" t="s">
        <v>155</v>
      </c>
      <c r="U43" s="238"/>
      <c r="V43" s="5463"/>
      <c r="W43" s="5464"/>
      <c r="X43" s="5464"/>
      <c r="Y43" s="5464"/>
      <c r="Z43" s="5464"/>
      <c r="AA43" s="5464"/>
      <c r="AB43" s="5464"/>
      <c r="AC43" s="5465"/>
      <c r="AD43" s="5463" t="str">
        <f>INDEX(PT_DIFFERENTIATION_NTAR,MATCH(A43,PT_DIFFERENTIATION_NTAR_ID,0))</f>
        <v/>
      </c>
      <c r="AE43" s="5464"/>
      <c r="AF43" s="5464"/>
      <c r="AG43" s="5464"/>
      <c r="AH43" s="5464"/>
      <c r="AI43" s="5464"/>
      <c r="AJ43" s="5464"/>
      <c r="AK43" s="5464"/>
      <c r="AL43" s="5465"/>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5"/>
      <c r="AP43" s="1545" t="str">
        <f t="shared" ref="AP43:AP57" si="1">IF(T43="","",T43)</f>
        <v>Наименование тарифа</v>
      </c>
      <c r="AQ43" s="1545"/>
      <c r="AR43" s="1545"/>
      <c r="AS43" s="1552">
        <v>21</v>
      </c>
    </row>
    <row r="44" spans="1:45" ht="21.95" customHeight="1">
      <c r="A44" s="1188" t="s">
        <v>241</v>
      </c>
      <c r="B44" s="1188" t="s">
        <v>242</v>
      </c>
      <c r="C44" s="1188"/>
      <c r="D44" s="1188"/>
      <c r="E44" s="5496"/>
      <c r="F44" s="5495">
        <v>1</v>
      </c>
      <c r="G44" s="1188"/>
      <c r="H44" s="1188"/>
      <c r="I44" s="1188"/>
      <c r="J44" s="1188"/>
      <c r="K44" s="1188"/>
      <c r="L44" s="1231"/>
      <c r="M44" s="1531"/>
      <c r="N44" s="1531"/>
      <c r="O44" s="1531"/>
      <c r="P44" s="1855"/>
      <c r="Q44" s="290"/>
      <c r="R44" s="291"/>
      <c r="S44" s="1873" t="str">
        <f>INDEX(PT_DIFFERENTIATION_NUM_TER,MATCH(B44,PT_DIFFERENTIATION_TER_ID,0))</f>
        <v>.</v>
      </c>
      <c r="T44" s="1443" t="s">
        <v>490</v>
      </c>
      <c r="U44" s="238"/>
      <c r="V44" s="5463"/>
      <c r="W44" s="5464"/>
      <c r="X44" s="5464"/>
      <c r="Y44" s="5464"/>
      <c r="Z44" s="5464"/>
      <c r="AA44" s="5464"/>
      <c r="AB44" s="5464"/>
      <c r="AC44" s="5465"/>
      <c r="AD44" s="5463" t="str">
        <f>INDEX(PT_DIFFERENTIATION_TER,MATCH(B44,PT_DIFFERENTIATION_TER_ID,0))</f>
        <v/>
      </c>
      <c r="AE44" s="5464"/>
      <c r="AF44" s="5464"/>
      <c r="AG44" s="5464"/>
      <c r="AH44" s="5464"/>
      <c r="AI44" s="5464"/>
      <c r="AJ44" s="5464"/>
      <c r="AK44" s="5464"/>
      <c r="AL44" s="5465"/>
      <c r="AM44" s="1179" t="s">
        <v>491</v>
      </c>
      <c r="AO44" s="1545"/>
      <c r="AP44" s="1545" t="str">
        <f t="shared" si="1"/>
        <v>Территория действия тарифа</v>
      </c>
      <c r="AQ44" s="1545"/>
      <c r="AR44" s="1545"/>
      <c r="AS44" s="1552">
        <v>21</v>
      </c>
    </row>
    <row r="45" spans="1:45" ht="24" customHeight="1">
      <c r="A45" s="1188" t="s">
        <v>241</v>
      </c>
      <c r="B45" s="1188" t="s">
        <v>242</v>
      </c>
      <c r="C45" s="1188" t="s">
        <v>243</v>
      </c>
      <c r="D45" s="1188"/>
      <c r="E45" s="5496"/>
      <c r="F45" s="5496"/>
      <c r="G45" s="5495">
        <v>1</v>
      </c>
      <c r="H45" s="1188"/>
      <c r="I45" s="1188"/>
      <c r="J45" s="1188"/>
      <c r="K45" s="1188"/>
      <c r="L45" s="1231"/>
      <c r="M45" s="1531"/>
      <c r="N45" s="1531"/>
      <c r="O45" s="1531"/>
      <c r="P45" s="292"/>
      <c r="Q45" s="290"/>
      <c r="R45" s="291"/>
      <c r="S45" s="1873" t="str">
        <f>INDEX(PT_DIFFERENTIATION_NUM_CS,MATCH(C45,PT_DIFFERENTIATION_CS_ID,0))</f>
        <v>..</v>
      </c>
      <c r="T45" s="247" t="s">
        <v>492</v>
      </c>
      <c r="U45" s="238"/>
      <c r="V45" s="5463"/>
      <c r="W45" s="5464"/>
      <c r="X45" s="5464"/>
      <c r="Y45" s="5464"/>
      <c r="Z45" s="5464"/>
      <c r="AA45" s="5464"/>
      <c r="AB45" s="5464"/>
      <c r="AC45" s="5465"/>
      <c r="AD45" s="5463" t="str">
        <f>INDEX(PT_DIFFERENTIATION_CS,MATCH(C45,PT_DIFFERENTIATION_CS_ID,0))</f>
        <v/>
      </c>
      <c r="AE45" s="5464"/>
      <c r="AF45" s="5464"/>
      <c r="AG45" s="5464"/>
      <c r="AH45" s="5464"/>
      <c r="AI45" s="5464"/>
      <c r="AJ45" s="5464"/>
      <c r="AK45" s="5464"/>
      <c r="AL45" s="5465"/>
      <c r="AM45" s="1179" t="s">
        <v>493</v>
      </c>
      <c r="AO45" s="1545"/>
      <c r="AP45" s="1545" t="str">
        <f t="shared" si="1"/>
        <v xml:space="preserve">Наименование системы теплоснабжения </v>
      </c>
      <c r="AQ45" s="1545"/>
      <c r="AR45" s="1545"/>
      <c r="AS45" s="1552">
        <v>23</v>
      </c>
    </row>
    <row r="46" spans="1:45" ht="21.95" customHeight="1">
      <c r="A46" s="1188" t="s">
        <v>241</v>
      </c>
      <c r="B46" s="1188" t="s">
        <v>242</v>
      </c>
      <c r="C46" s="1188" t="s">
        <v>243</v>
      </c>
      <c r="D46" s="1188" t="s">
        <v>244</v>
      </c>
      <c r="E46" s="5496"/>
      <c r="F46" s="5496"/>
      <c r="G46" s="5496"/>
      <c r="H46" s="5495">
        <v>1</v>
      </c>
      <c r="I46" s="1188"/>
      <c r="J46" s="1188"/>
      <c r="K46" s="1188"/>
      <c r="L46" s="1231"/>
      <c r="M46" s="1531"/>
      <c r="N46" s="1531"/>
      <c r="O46" s="1531"/>
      <c r="P46" s="292"/>
      <c r="Q46" s="290"/>
      <c r="R46" s="291"/>
      <c r="S46" s="1873" t="str">
        <f>INDEX(PT_DIFFERENTIATION_NUM_IST_TE,MATCH(D46,PT_DIFFERENTIATION_IST_TE_ID,0))</f>
        <v>...</v>
      </c>
      <c r="T46" s="248" t="s">
        <v>494</v>
      </c>
      <c r="U46" s="238"/>
      <c r="V46" s="5463"/>
      <c r="W46" s="5464"/>
      <c r="X46" s="5464"/>
      <c r="Y46" s="5464"/>
      <c r="Z46" s="5464"/>
      <c r="AA46" s="5464"/>
      <c r="AB46" s="5464"/>
      <c r="AC46" s="5465"/>
      <c r="AD46" s="5463" t="str">
        <f>INDEX(PT_DIFFERENTIATION_IST_TE,MATCH(D46,PT_DIFFERENTIATION_IST_TE_ID,0))</f>
        <v/>
      </c>
      <c r="AE46" s="5464"/>
      <c r="AF46" s="5464"/>
      <c r="AG46" s="5464"/>
      <c r="AH46" s="5464"/>
      <c r="AI46" s="5464"/>
      <c r="AJ46" s="5464"/>
      <c r="AK46" s="5464"/>
      <c r="AL46" s="5465"/>
      <c r="AM46" s="1179" t="s">
        <v>495</v>
      </c>
      <c r="AO46" s="1545"/>
      <c r="AP46" s="1545" t="str">
        <f t="shared" si="1"/>
        <v xml:space="preserve">Источник тепловой энергии  </v>
      </c>
      <c r="AQ46" s="1545"/>
      <c r="AR46" s="1545"/>
      <c r="AS46" s="1552">
        <v>21</v>
      </c>
    </row>
    <row r="47" spans="1:45" ht="49.5" customHeight="1">
      <c r="A47" s="1188" t="s">
        <v>241</v>
      </c>
      <c r="B47" s="1188" t="s">
        <v>242</v>
      </c>
      <c r="C47" s="1188" t="s">
        <v>243</v>
      </c>
      <c r="D47" s="1188" t="s">
        <v>244</v>
      </c>
      <c r="E47" s="5496"/>
      <c r="F47" s="5496"/>
      <c r="G47" s="5496"/>
      <c r="H47" s="5496"/>
      <c r="I47" s="5328" t="str">
        <f>S46&amp;".1"</f>
        <v>....1</v>
      </c>
      <c r="J47" s="1188"/>
      <c r="K47" s="1188"/>
      <c r="L47" s="1231" t="s">
        <v>496</v>
      </c>
      <c r="P47" s="5473">
        <v>1</v>
      </c>
      <c r="Q47" s="1869"/>
      <c r="R47" s="294"/>
      <c r="S47" s="1873" t="str">
        <f>$I47</f>
        <v>....1</v>
      </c>
      <c r="T47" s="223" t="s">
        <v>497</v>
      </c>
      <c r="U47" s="238"/>
      <c r="V47" s="5457"/>
      <c r="W47" s="5458"/>
      <c r="X47" s="5458"/>
      <c r="Y47" s="5458"/>
      <c r="Z47" s="5458"/>
      <c r="AA47" s="5458"/>
      <c r="AB47" s="5458"/>
      <c r="AC47" s="5459"/>
      <c r="AD47" s="5457"/>
      <c r="AE47" s="5458"/>
      <c r="AF47" s="5458"/>
      <c r="AG47" s="5458"/>
      <c r="AH47" s="5458"/>
      <c r="AI47" s="5458"/>
      <c r="AJ47" s="5458"/>
      <c r="AK47" s="5458"/>
      <c r="AL47" s="5459"/>
      <c r="AM47" s="1179" t="s">
        <v>498</v>
      </c>
      <c r="AO47" s="1545"/>
      <c r="AP47" s="1545" t="str">
        <f t="shared" si="1"/>
        <v>Схема подключения теплопотребляющей установки к коллектору источника тепловой энергии</v>
      </c>
      <c r="AQ47" s="1545"/>
      <c r="AR47" s="1545"/>
      <c r="AS47" s="1552">
        <v>47</v>
      </c>
    </row>
    <row r="48" spans="1:45" ht="21.95" customHeight="1">
      <c r="A48" s="1188" t="s">
        <v>241</v>
      </c>
      <c r="B48" s="1188" t="s">
        <v>242</v>
      </c>
      <c r="C48" s="1188" t="s">
        <v>243</v>
      </c>
      <c r="D48" s="1188" t="s">
        <v>244</v>
      </c>
      <c r="E48" s="5496"/>
      <c r="F48" s="5496"/>
      <c r="G48" s="5496"/>
      <c r="H48" s="5496"/>
      <c r="I48" s="5309"/>
      <c r="J48" s="5328" t="str">
        <f>I47&amp;".1"</f>
        <v>....1.1</v>
      </c>
      <c r="K48" s="1188"/>
      <c r="L48" s="1231" t="s">
        <v>499</v>
      </c>
      <c r="P48" s="5473"/>
      <c r="Q48" s="5473">
        <v>1</v>
      </c>
      <c r="R48" s="295"/>
      <c r="S48" s="1873" t="str">
        <f>$J48</f>
        <v>....1.1</v>
      </c>
      <c r="T48" s="224" t="s">
        <v>500</v>
      </c>
      <c r="U48" s="238"/>
      <c r="V48" s="5457"/>
      <c r="W48" s="5458"/>
      <c r="X48" s="5458"/>
      <c r="Y48" s="5458"/>
      <c r="Z48" s="5458"/>
      <c r="AA48" s="5458"/>
      <c r="AB48" s="5458"/>
      <c r="AC48" s="5459"/>
      <c r="AD48" s="5457"/>
      <c r="AE48" s="5458"/>
      <c r="AF48" s="5458"/>
      <c r="AG48" s="5458"/>
      <c r="AH48" s="5458"/>
      <c r="AI48" s="5458"/>
      <c r="AJ48" s="5458"/>
      <c r="AK48" s="5458"/>
      <c r="AL48" s="5459"/>
      <c r="AM48" s="1179" t="s">
        <v>501</v>
      </c>
      <c r="AO48" s="1545"/>
      <c r="AP48" s="1545" t="str">
        <f t="shared" si="1"/>
        <v>Группа потребителей</v>
      </c>
      <c r="AQ48" s="1545"/>
      <c r="AR48" s="1545"/>
      <c r="AS48" s="1552">
        <v>21</v>
      </c>
    </row>
    <row r="49" spans="1:45" ht="21.95" customHeight="1">
      <c r="A49" s="1188" t="s">
        <v>241</v>
      </c>
      <c r="B49" s="1188" t="s">
        <v>242</v>
      </c>
      <c r="C49" s="1188" t="s">
        <v>243</v>
      </c>
      <c r="D49" s="1188" t="s">
        <v>244</v>
      </c>
      <c r="E49" s="5496"/>
      <c r="F49" s="5496"/>
      <c r="G49" s="5496"/>
      <c r="H49" s="5496"/>
      <c r="I49" s="5309"/>
      <c r="J49" s="5309"/>
      <c r="K49" s="5328" t="str">
        <f>J48&amp;".1"</f>
        <v>....1.1.1</v>
      </c>
      <c r="L49" s="1231" t="s">
        <v>502</v>
      </c>
      <c r="P49" s="5473"/>
      <c r="Q49" s="5473"/>
      <c r="R49" s="295">
        <v>1</v>
      </c>
      <c r="S49" s="1873" t="str">
        <f>$K49</f>
        <v>....1.1.1</v>
      </c>
      <c r="T49" s="1268"/>
      <c r="U49" s="238"/>
      <c r="V49" s="689"/>
      <c r="W49" s="263"/>
      <c r="X49" s="689"/>
      <c r="Y49" s="1178"/>
      <c r="Z49" s="5474"/>
      <c r="AA49" s="5338" t="s">
        <v>66</v>
      </c>
      <c r="AB49" s="5474"/>
      <c r="AC49" s="5338" t="s">
        <v>66</v>
      </c>
      <c r="AD49" s="689"/>
      <c r="AE49" s="263"/>
      <c r="AF49" s="689"/>
      <c r="AG49" s="1178"/>
      <c r="AH49" s="5474"/>
      <c r="AI49" s="5338" t="s">
        <v>66</v>
      </c>
      <c r="AJ49" s="5476"/>
      <c r="AK49" s="5338" t="s">
        <v>66</v>
      </c>
      <c r="AL49" s="1269"/>
      <c r="AM49" s="5492" t="s">
        <v>503</v>
      </c>
      <c r="AN49" s="1557" t="e">
        <f ca="1">STRCHECKDATE(V50:AL50)</f>
        <v>#NAME?</v>
      </c>
      <c r="AO49" s="1545"/>
      <c r="AP49" s="1545" t="str">
        <f t="shared" si="1"/>
        <v/>
      </c>
      <c r="AQ49" s="1545"/>
      <c r="AR49" s="1545"/>
      <c r="AS49" s="1552">
        <v>21</v>
      </c>
    </row>
    <row r="50" spans="1:45" ht="1.1499999999999999" customHeight="1">
      <c r="A50" s="1188" t="s">
        <v>241</v>
      </c>
      <c r="B50" s="1188" t="s">
        <v>242</v>
      </c>
      <c r="C50" s="1188" t="s">
        <v>243</v>
      </c>
      <c r="D50" s="1188" t="s">
        <v>244</v>
      </c>
      <c r="E50" s="5496"/>
      <c r="F50" s="5496"/>
      <c r="G50" s="5496"/>
      <c r="H50" s="5496"/>
      <c r="I50" s="5309"/>
      <c r="J50" s="5309"/>
      <c r="K50" s="5328"/>
      <c r="L50" s="1231"/>
      <c r="P50" s="5473"/>
      <c r="Q50" s="5473"/>
      <c r="R50" s="295"/>
      <c r="S50" s="1882"/>
      <c r="T50" s="238"/>
      <c r="U50" s="238"/>
      <c r="V50" s="263"/>
      <c r="W50" s="263"/>
      <c r="X50" s="263"/>
      <c r="Y50" s="266" t="str">
        <f>Z49&amp;"-"&amp;AB49</f>
        <v>-</v>
      </c>
      <c r="Z50" s="5475"/>
      <c r="AA50" s="5338"/>
      <c r="AB50" s="5475"/>
      <c r="AC50" s="5338"/>
      <c r="AD50" s="263"/>
      <c r="AE50" s="263"/>
      <c r="AF50" s="263"/>
      <c r="AG50" s="266" t="str">
        <f>AH49&amp;"-"&amp;AJ49</f>
        <v>-</v>
      </c>
      <c r="AH50" s="5475"/>
      <c r="AI50" s="5338"/>
      <c r="AJ50" s="5477"/>
      <c r="AK50" s="5338"/>
      <c r="AL50" s="1270"/>
      <c r="AM50" s="5493"/>
      <c r="AO50" s="1545"/>
      <c r="AP50" s="1545" t="str">
        <f t="shared" si="1"/>
        <v/>
      </c>
      <c r="AQ50" s="1545"/>
      <c r="AR50" s="1545"/>
      <c r="AS50" s="1552">
        <v>1</v>
      </c>
    </row>
    <row r="51" spans="1:45" ht="11.45" customHeight="1">
      <c r="A51" s="1188" t="s">
        <v>241</v>
      </c>
      <c r="B51" s="1188" t="s">
        <v>242</v>
      </c>
      <c r="C51" s="1188" t="s">
        <v>243</v>
      </c>
      <c r="D51" s="1188" t="s">
        <v>244</v>
      </c>
      <c r="E51" s="5496"/>
      <c r="F51" s="5496"/>
      <c r="G51" s="5496"/>
      <c r="H51" s="5496"/>
      <c r="I51" s="5309"/>
      <c r="J51" s="5328"/>
      <c r="K51" s="1188"/>
      <c r="L51" s="1231"/>
      <c r="P51" s="5473"/>
      <c r="Q51" s="5473"/>
      <c r="R51" s="294"/>
      <c r="S51" s="1199"/>
      <c r="T51" s="226" t="s">
        <v>504</v>
      </c>
      <c r="U51" s="538"/>
      <c r="V51" s="538"/>
      <c r="W51" s="538"/>
      <c r="X51" s="538"/>
      <c r="Y51" s="538"/>
      <c r="Z51" s="538"/>
      <c r="AA51" s="538"/>
      <c r="AB51" s="538"/>
      <c r="AC51" s="538"/>
      <c r="AD51" s="538"/>
      <c r="AE51" s="538"/>
      <c r="AF51" s="538"/>
      <c r="AG51" s="538"/>
      <c r="AH51" s="538"/>
      <c r="AI51" s="538"/>
      <c r="AJ51" s="538"/>
      <c r="AK51" s="538"/>
      <c r="AL51" s="262"/>
      <c r="AM51" s="5494"/>
      <c r="AO51" s="1545"/>
      <c r="AP51" s="1545" t="str">
        <f t="shared" si="1"/>
        <v>Добавить вид теплоносителя (параметры теплоносителя)</v>
      </c>
      <c r="AQ51" s="1545"/>
      <c r="AR51" s="1545"/>
      <c r="AS51" s="1552">
        <v>11</v>
      </c>
    </row>
    <row r="52" spans="1:45" ht="11.45" customHeight="1">
      <c r="A52" s="1188" t="s">
        <v>241</v>
      </c>
      <c r="B52" s="1188" t="s">
        <v>242</v>
      </c>
      <c r="C52" s="1188" t="s">
        <v>243</v>
      </c>
      <c r="D52" s="1188" t="s">
        <v>244</v>
      </c>
      <c r="E52" s="5496"/>
      <c r="F52" s="5496"/>
      <c r="G52" s="5496"/>
      <c r="H52" s="5496"/>
      <c r="I52" s="5328"/>
      <c r="J52" s="1188"/>
      <c r="K52" s="1188"/>
      <c r="L52" s="1231"/>
      <c r="P52" s="5473"/>
      <c r="Q52" s="1869"/>
      <c r="R52" s="294"/>
      <c r="S52" s="1199"/>
      <c r="T52" s="225" t="s">
        <v>505</v>
      </c>
      <c r="U52" s="538"/>
      <c r="V52" s="538"/>
      <c r="W52" s="538"/>
      <c r="X52" s="538"/>
      <c r="Y52" s="538"/>
      <c r="Z52" s="538"/>
      <c r="AA52" s="538"/>
      <c r="AB52" s="538"/>
      <c r="AC52" s="304"/>
      <c r="AD52" s="538"/>
      <c r="AE52" s="538"/>
      <c r="AF52" s="538"/>
      <c r="AG52" s="538"/>
      <c r="AH52" s="538"/>
      <c r="AI52" s="538"/>
      <c r="AJ52" s="538"/>
      <c r="AK52" s="304"/>
      <c r="AL52" s="538"/>
      <c r="AM52" s="241"/>
      <c r="AO52" s="1545"/>
      <c r="AP52" s="1545" t="str">
        <f t="shared" si="1"/>
        <v>Добавить группу потребителей</v>
      </c>
      <c r="AQ52" s="1545"/>
      <c r="AR52" s="1545"/>
      <c r="AS52" s="1552">
        <v>11</v>
      </c>
    </row>
    <row r="53" spans="1:45" ht="14.65" customHeight="1">
      <c r="A53" s="1188" t="s">
        <v>241</v>
      </c>
      <c r="B53" s="1188" t="s">
        <v>242</v>
      </c>
      <c r="C53" s="1188" t="s">
        <v>243</v>
      </c>
      <c r="D53" s="1188" t="s">
        <v>244</v>
      </c>
      <c r="E53" s="5496"/>
      <c r="F53" s="5496"/>
      <c r="G53" s="5496"/>
      <c r="H53" s="5495"/>
      <c r="I53" s="1188"/>
      <c r="J53" s="1188"/>
      <c r="K53" s="1188"/>
      <c r="L53" s="1231"/>
      <c r="M53" s="1531"/>
      <c r="N53" s="1531"/>
      <c r="O53" s="1556"/>
      <c r="P53" s="298"/>
      <c r="Q53" s="313"/>
      <c r="R53" s="293"/>
      <c r="S53" s="1199"/>
      <c r="T53" s="303" t="s">
        <v>506</v>
      </c>
      <c r="U53" s="538"/>
      <c r="V53" s="538"/>
      <c r="W53" s="538"/>
      <c r="X53" s="538"/>
      <c r="Y53" s="538"/>
      <c r="Z53" s="538"/>
      <c r="AA53" s="538"/>
      <c r="AB53" s="538"/>
      <c r="AC53" s="304"/>
      <c r="AD53" s="538"/>
      <c r="AE53" s="538"/>
      <c r="AF53" s="538"/>
      <c r="AG53" s="538"/>
      <c r="AH53" s="538"/>
      <c r="AI53" s="538"/>
      <c r="AJ53" s="538"/>
      <c r="AK53" s="304"/>
      <c r="AL53" s="538"/>
      <c r="AM53" s="241"/>
      <c r="AO53" s="1545"/>
      <c r="AP53" s="1545" t="str">
        <f t="shared" si="1"/>
        <v>Добавить схему подключения</v>
      </c>
      <c r="AQ53" s="1545"/>
      <c r="AR53" s="1545"/>
      <c r="AS53" s="1552">
        <v>14</v>
      </c>
    </row>
    <row r="54" spans="1:45" s="4275" customFormat="1" ht="1.1499999999999999" customHeight="1">
      <c r="A54" s="1188" t="s">
        <v>241</v>
      </c>
      <c r="B54" s="1188" t="s">
        <v>242</v>
      </c>
      <c r="C54" s="1188" t="s">
        <v>243</v>
      </c>
      <c r="D54" s="1889"/>
      <c r="E54" s="5496"/>
      <c r="F54" s="5496"/>
      <c r="G54" s="5495"/>
      <c r="H54" s="1889"/>
      <c r="I54" s="1889"/>
      <c r="J54" s="1889"/>
      <c r="K54" s="1889"/>
      <c r="L54" s="1301"/>
      <c r="M54" s="1531"/>
      <c r="N54" s="1531"/>
      <c r="O54" s="1556"/>
      <c r="P54" s="1237"/>
      <c r="Q54" s="1238"/>
      <c r="R54" s="1237"/>
      <c r="S54" s="1243"/>
      <c r="T54" s="1246" t="s">
        <v>507</v>
      </c>
      <c r="U54" s="1245"/>
      <c r="V54" s="1245"/>
      <c r="W54" s="1245"/>
      <c r="X54" s="1245"/>
      <c r="Y54" s="1245"/>
      <c r="Z54" s="1245"/>
      <c r="AA54" s="1245"/>
      <c r="AB54" s="1245"/>
      <c r="AC54" s="1245"/>
      <c r="AD54" s="1245"/>
      <c r="AE54" s="1245"/>
      <c r="AF54" s="1245"/>
      <c r="AG54" s="1245"/>
      <c r="AH54" s="1245"/>
      <c r="AI54" s="1245"/>
      <c r="AJ54" s="1245"/>
      <c r="AK54" s="1245"/>
      <c r="AL54" s="1245"/>
      <c r="AM54" s="1245"/>
      <c r="AO54" s="1172"/>
      <c r="AP54" s="1172" t="str">
        <f t="shared" si="1"/>
        <v>Добавить источник для дифференциации</v>
      </c>
      <c r="AQ54" s="1172"/>
      <c r="AR54" s="1172"/>
      <c r="AS54" s="1563">
        <v>1</v>
      </c>
    </row>
    <row r="55" spans="1:45" s="4275" customFormat="1" ht="1.1499999999999999" customHeight="1">
      <c r="A55" s="1188" t="s">
        <v>241</v>
      </c>
      <c r="B55" s="1188" t="s">
        <v>242</v>
      </c>
      <c r="C55" s="1889"/>
      <c r="D55" s="1889"/>
      <c r="E55" s="5496"/>
      <c r="F55" s="5495"/>
      <c r="G55" s="1889"/>
      <c r="H55" s="1889"/>
      <c r="I55" s="1889"/>
      <c r="J55" s="1889"/>
      <c r="K55" s="1889"/>
      <c r="L55" s="1301"/>
      <c r="M55" s="1890"/>
      <c r="N55" s="1890"/>
      <c r="O55" s="1556"/>
      <c r="P55" s="1237"/>
      <c r="Q55" s="1238"/>
      <c r="R55" s="1237"/>
      <c r="S55" s="1243"/>
      <c r="T55" s="1246" t="s">
        <v>312</v>
      </c>
      <c r="U55" s="1245"/>
      <c r="V55" s="1245"/>
      <c r="W55" s="1245"/>
      <c r="X55" s="1245"/>
      <c r="Y55" s="1245"/>
      <c r="Z55" s="1245"/>
      <c r="AA55" s="1245"/>
      <c r="AB55" s="1245"/>
      <c r="AC55" s="1245"/>
      <c r="AD55" s="1245"/>
      <c r="AE55" s="1245"/>
      <c r="AF55" s="1245"/>
      <c r="AG55" s="1245"/>
      <c r="AH55" s="1245"/>
      <c r="AI55" s="1245"/>
      <c r="AJ55" s="1245"/>
      <c r="AK55" s="1245"/>
      <c r="AL55" s="1245"/>
      <c r="AM55" s="1245"/>
      <c r="AO55" s="1172"/>
      <c r="AP55" s="1172" t="str">
        <f t="shared" si="1"/>
        <v>Добавить централизованную систему для дифференциации</v>
      </c>
      <c r="AQ55" s="1172"/>
      <c r="AR55" s="1172"/>
      <c r="AS55" s="1563">
        <v>1</v>
      </c>
    </row>
    <row r="56" spans="1:45" s="4275" customFormat="1" ht="1.1499999999999999" customHeight="1">
      <c r="A56" s="1188" t="s">
        <v>241</v>
      </c>
      <c r="B56" s="1188"/>
      <c r="C56" s="1188"/>
      <c r="D56" s="1188"/>
      <c r="E56" s="5495"/>
      <c r="F56" s="1188"/>
      <c r="G56" s="1188"/>
      <c r="H56" s="1188"/>
      <c r="I56" s="1188"/>
      <c r="J56" s="1188"/>
      <c r="K56" s="1188"/>
      <c r="L56" s="1231"/>
      <c r="M56" s="1890"/>
      <c r="N56" s="1890"/>
      <c r="O56" s="1556"/>
      <c r="P56" s="318"/>
      <c r="Q56" s="1265"/>
      <c r="R56" s="318"/>
      <c r="S56" s="1243"/>
      <c r="T56" s="1246" t="s">
        <v>360</v>
      </c>
      <c r="U56" s="1245"/>
      <c r="V56" s="1245"/>
      <c r="W56" s="1245"/>
      <c r="X56" s="1245"/>
      <c r="Y56" s="1245"/>
      <c r="Z56" s="1245"/>
      <c r="AA56" s="1245"/>
      <c r="AB56" s="1245"/>
      <c r="AC56" s="1245"/>
      <c r="AD56" s="1245"/>
      <c r="AE56" s="1245"/>
      <c r="AF56" s="1245"/>
      <c r="AG56" s="1245"/>
      <c r="AH56" s="1245"/>
      <c r="AI56" s="1245"/>
      <c r="AJ56" s="1245"/>
      <c r="AK56" s="1245"/>
      <c r="AL56" s="1245"/>
      <c r="AM56" s="1245"/>
      <c r="AO56" s="1545"/>
      <c r="AP56" s="1545" t="str">
        <f t="shared" si="1"/>
        <v>Добавить территорию для дифференциации</v>
      </c>
      <c r="AQ56" s="1545"/>
      <c r="AR56" s="1545"/>
      <c r="AS56" s="1557">
        <v>1</v>
      </c>
    </row>
    <row r="57" spans="1:45" s="4275" customFormat="1" ht="1.1499999999999999" customHeight="1">
      <c r="A57" s="1889"/>
      <c r="B57" s="1889"/>
      <c r="C57" s="1889"/>
      <c r="D57" s="1889"/>
      <c r="E57" s="1188"/>
      <c r="F57" s="1889"/>
      <c r="G57" s="1889"/>
      <c r="H57" s="1889"/>
      <c r="I57" s="1889"/>
      <c r="J57" s="1889"/>
      <c r="K57" s="1889"/>
      <c r="L57" s="1301"/>
      <c r="M57" s="1890"/>
      <c r="N57" s="1890"/>
      <c r="O57" s="1556"/>
      <c r="P57" s="1237"/>
      <c r="Q57" s="1238"/>
      <c r="R57" s="1237"/>
      <c r="S57" s="1243"/>
      <c r="T57" s="1246" t="s">
        <v>361</v>
      </c>
      <c r="U57" s="1245"/>
      <c r="V57" s="1245"/>
      <c r="W57" s="1245"/>
      <c r="X57" s="1245"/>
      <c r="Y57" s="1245"/>
      <c r="Z57" s="1245"/>
      <c r="AA57" s="1245"/>
      <c r="AB57" s="1245"/>
      <c r="AC57" s="1245"/>
      <c r="AD57" s="1245"/>
      <c r="AE57" s="1245"/>
      <c r="AF57" s="1245"/>
      <c r="AG57" s="1245"/>
      <c r="AH57" s="1245"/>
      <c r="AI57" s="1245"/>
      <c r="AJ57" s="1245"/>
      <c r="AK57" s="1245"/>
      <c r="AL57" s="1245"/>
      <c r="AM57" s="1245"/>
      <c r="AO57" s="1172"/>
      <c r="AP57" s="1172" t="str">
        <f t="shared" si="1"/>
        <v>Добавить наименование тарифа</v>
      </c>
      <c r="AQ57" s="1172"/>
      <c r="AR57" s="1172"/>
      <c r="AS57" s="1563">
        <v>1</v>
      </c>
    </row>
    <row r="58" spans="1:45" ht="11.45" customHeight="1">
      <c r="M58" s="1552"/>
      <c r="N58" s="1552"/>
      <c r="O58" s="1556"/>
      <c r="P58" s="1552"/>
      <c r="Q58" s="1552"/>
      <c r="R58" s="1552"/>
      <c r="S58" s="1552"/>
      <c r="AN58" s="1552"/>
      <c r="AO58" s="1552"/>
      <c r="AP58" s="1552"/>
      <c r="AQ58" s="1552"/>
      <c r="AR58" s="1552"/>
      <c r="AS58" s="1552">
        <v>11</v>
      </c>
    </row>
    <row r="59" spans="1:45" ht="28.5" customHeight="1">
      <c r="O59" s="1556"/>
      <c r="S59" s="1174"/>
      <c r="T59" s="5468"/>
      <c r="U59" s="5468"/>
      <c r="V59" s="5468"/>
      <c r="W59" s="5468"/>
      <c r="X59" s="5468"/>
      <c r="Y59" s="5468"/>
      <c r="Z59" s="5468"/>
      <c r="AA59" s="5468"/>
      <c r="AB59" s="5468"/>
      <c r="AC59" s="5468"/>
      <c r="AD59" s="5468"/>
      <c r="AE59" s="5468"/>
      <c r="AF59" s="5468"/>
      <c r="AG59" s="5468"/>
      <c r="AH59" s="5468"/>
      <c r="AI59" s="5468"/>
      <c r="AJ59" s="5468"/>
      <c r="AK59" s="5468"/>
      <c r="AL59" s="5468"/>
      <c r="AM59" s="5468"/>
      <c r="AS59" s="1552">
        <v>27</v>
      </c>
    </row>
    <row r="60" spans="1:45" ht="65.25" customHeight="1">
      <c r="O60" s="1556"/>
      <c r="T60" s="5468"/>
      <c r="U60" s="5468"/>
      <c r="V60" s="5468"/>
      <c r="W60" s="5468"/>
      <c r="X60" s="5468"/>
      <c r="Y60" s="5468"/>
      <c r="Z60" s="5468"/>
      <c r="AA60" s="5468"/>
      <c r="AB60" s="5468"/>
      <c r="AC60" s="5468"/>
      <c r="AD60" s="5468"/>
      <c r="AE60" s="5468"/>
      <c r="AF60" s="5468"/>
      <c r="AG60" s="5468"/>
      <c r="AH60" s="5468"/>
      <c r="AI60" s="5468"/>
      <c r="AJ60" s="5468"/>
      <c r="AK60" s="5468"/>
      <c r="AL60" s="5468"/>
      <c r="AM60" s="5468"/>
      <c r="AS60" s="1552">
        <v>62</v>
      </c>
    </row>
    <row r="61" spans="1:45" ht="14.65" customHeight="1">
      <c r="O61" s="1556"/>
      <c r="AS61" s="1552">
        <v>14</v>
      </c>
    </row>
    <row r="62" spans="1:45" ht="18.75" customHeight="1">
      <c r="O62" s="1556"/>
      <c r="S62" s="1174"/>
      <c r="T62" s="5468"/>
      <c r="U62" s="5468"/>
      <c r="V62" s="5468"/>
      <c r="W62" s="5468"/>
      <c r="X62" s="5468"/>
      <c r="Y62" s="5468"/>
      <c r="Z62" s="5468"/>
      <c r="AA62" s="5468"/>
      <c r="AB62" s="5468"/>
      <c r="AC62" s="5468"/>
      <c r="AD62" s="5468"/>
      <c r="AE62" s="5468"/>
      <c r="AF62" s="5468"/>
      <c r="AG62" s="5468"/>
      <c r="AH62" s="5468"/>
      <c r="AI62" s="5468"/>
      <c r="AJ62" s="5468"/>
      <c r="AK62" s="5468"/>
      <c r="AL62" s="5468"/>
      <c r="AM62" s="5468"/>
      <c r="AS62" s="1552">
        <v>18</v>
      </c>
    </row>
    <row r="63" spans="1:45" ht="18.75" customHeight="1">
      <c r="O63" s="1556"/>
      <c r="T63" s="5468"/>
      <c r="U63" s="5468"/>
      <c r="V63" s="5468"/>
      <c r="W63" s="5468"/>
      <c r="X63" s="5468"/>
      <c r="Y63" s="5468"/>
      <c r="Z63" s="5468"/>
      <c r="AA63" s="5468"/>
      <c r="AB63" s="5468"/>
      <c r="AC63" s="5468"/>
      <c r="AD63" s="5468"/>
      <c r="AE63" s="5468"/>
      <c r="AF63" s="5468"/>
      <c r="AG63" s="5468"/>
      <c r="AH63" s="5468"/>
      <c r="AI63" s="5468"/>
      <c r="AJ63" s="5468"/>
      <c r="AK63" s="5468"/>
      <c r="AL63" s="5468"/>
      <c r="AM63" s="5468"/>
      <c r="AS63" s="1552">
        <v>18</v>
      </c>
    </row>
    <row r="64" spans="1:45" ht="29.25" customHeight="1">
      <c r="O64" s="1556"/>
      <c r="S64" s="1174"/>
      <c r="T64" s="5468"/>
      <c r="U64" s="5468"/>
      <c r="V64" s="5468"/>
      <c r="W64" s="5468"/>
      <c r="X64" s="5468"/>
      <c r="Y64" s="5468"/>
      <c r="Z64" s="5468"/>
      <c r="AA64" s="5468"/>
      <c r="AB64" s="5468"/>
      <c r="AC64" s="5468"/>
      <c r="AD64" s="5468"/>
      <c r="AE64" s="5468"/>
      <c r="AF64" s="5468"/>
      <c r="AG64" s="5468"/>
      <c r="AH64" s="5468"/>
      <c r="AI64" s="5468"/>
      <c r="AJ64" s="5468"/>
      <c r="AK64" s="5468"/>
      <c r="AL64" s="5468"/>
      <c r="AM64" s="5468"/>
      <c r="AS64" s="1552">
        <v>28</v>
      </c>
    </row>
    <row r="65" spans="1:45" ht="22.5" hidden="1" customHeight="1">
      <c r="A65" s="1552" t="s">
        <v>82</v>
      </c>
      <c r="B65" s="1552">
        <v>0</v>
      </c>
      <c r="C65" s="1552">
        <v>0</v>
      </c>
      <c r="D65" s="1552">
        <v>0</v>
      </c>
      <c r="E65" s="1552">
        <v>0</v>
      </c>
      <c r="F65" s="1552">
        <v>0</v>
      </c>
      <c r="G65" s="1552">
        <v>0</v>
      </c>
      <c r="H65" s="1552">
        <v>0</v>
      </c>
      <c r="I65" s="1552">
        <v>0</v>
      </c>
      <c r="J65" s="1552">
        <v>0</v>
      </c>
      <c r="K65" s="1552">
        <v>0</v>
      </c>
      <c r="L65" s="1854">
        <v>0</v>
      </c>
      <c r="M65" s="1880">
        <v>0</v>
      </c>
      <c r="N65" s="1880">
        <v>0</v>
      </c>
      <c r="O65" s="1880">
        <v>0</v>
      </c>
      <c r="P65" s="1880">
        <v>3</v>
      </c>
      <c r="Q65" s="282">
        <v>3</v>
      </c>
      <c r="R65" s="282">
        <v>3</v>
      </c>
      <c r="S65" s="519">
        <v>12</v>
      </c>
      <c r="T65" s="1552">
        <v>31</v>
      </c>
      <c r="U65" s="1552">
        <v>0</v>
      </c>
      <c r="V65" s="1552">
        <v>0</v>
      </c>
      <c r="W65" s="1552">
        <v>0</v>
      </c>
      <c r="X65" s="1552">
        <v>0</v>
      </c>
      <c r="Y65" s="1552">
        <v>0</v>
      </c>
      <c r="Z65" s="1552">
        <v>0</v>
      </c>
      <c r="AA65" s="1552">
        <v>0</v>
      </c>
      <c r="AB65" s="1552">
        <v>0</v>
      </c>
      <c r="AC65" s="1552">
        <v>0</v>
      </c>
      <c r="AD65" s="1552">
        <v>24</v>
      </c>
      <c r="AE65" s="1552">
        <v>0</v>
      </c>
      <c r="AF65" s="1552">
        <v>24</v>
      </c>
      <c r="AG65" s="1552">
        <v>24</v>
      </c>
      <c r="AH65" s="1552">
        <v>11</v>
      </c>
      <c r="AI65" s="1552">
        <v>3</v>
      </c>
      <c r="AJ65" s="1552">
        <v>11</v>
      </c>
      <c r="AK65" s="1552">
        <v>0</v>
      </c>
      <c r="AL65" s="1552">
        <v>4</v>
      </c>
      <c r="AM65" s="1552">
        <v>115</v>
      </c>
      <c r="AN65" s="1557">
        <v>10</v>
      </c>
      <c r="AO65" s="1557">
        <v>10</v>
      </c>
      <c r="AP65" s="1557">
        <v>10</v>
      </c>
      <c r="AQ65" s="1557">
        <v>10</v>
      </c>
      <c r="AR65" s="1557">
        <v>10</v>
      </c>
      <c r="AS65" s="1552">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1" style="4267" customWidth="1"/>
    <col min="21" max="21" width="0.7109375" style="4267" hidden="1" customWidth="1"/>
    <col min="22" max="22" width="1.7109375" style="4267" hidden="1" customWidth="1"/>
    <col min="23" max="23" width="24.7109375" style="4267" hidden="1" customWidth="1"/>
    <col min="24" max="25" width="0.14062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0.140625" style="4267" customWidth="1"/>
    <col min="31" max="31" width="24" style="4267" customWidth="1"/>
    <col min="32" max="33" width="0.140625" style="4267" customWidth="1"/>
    <col min="34" max="34" width="11" style="4267" customWidth="1"/>
    <col min="35" max="35" width="3.7109375" style="4267" customWidth="1"/>
    <col min="36" max="36" width="11" style="4267" customWidth="1"/>
    <col min="37" max="37" width="8.5703125" style="4267" hidden="1" customWidth="1"/>
    <col min="38" max="38" width="4" style="4267" customWidth="1"/>
    <col min="39" max="39" width="115" style="4267" customWidth="1"/>
    <col min="40" max="44" width="10" style="4275" customWidth="1"/>
    <col min="45" max="45" width="10.5703125" style="4267" hidden="1"/>
  </cols>
  <sheetData>
    <row r="1" spans="1:45" ht="22.5" hidden="1" customHeight="1">
      <c r="Y1" s="265"/>
      <c r="Z1" s="265"/>
      <c r="AG1" s="265"/>
      <c r="AH1" s="265"/>
      <c r="AS1" s="1076" t="s">
        <v>14</v>
      </c>
    </row>
    <row r="2" spans="1:45" ht="21" hidden="1" customHeight="1">
      <c r="A2" s="1284"/>
      <c r="B2" s="1284"/>
      <c r="C2" s="1284"/>
      <c r="D2" s="1284"/>
      <c r="E2" s="5469">
        <v>1</v>
      </c>
      <c r="F2" s="1284"/>
      <c r="G2" s="1284"/>
      <c r="H2" s="1284"/>
      <c r="I2" s="1284"/>
      <c r="J2" s="1284"/>
      <c r="K2" s="1284"/>
      <c r="L2" s="1285"/>
      <c r="M2" s="1286"/>
      <c r="N2" s="1286"/>
      <c r="O2" s="1286"/>
      <c r="P2" s="299"/>
      <c r="Q2" s="298"/>
      <c r="R2" s="293"/>
      <c r="S2" s="1257" t="e">
        <f>INDEX(PT_DIFFERENTIATION_NUM_NTAR,MATCH(A2,PT_DIFFERENTIATION_NTAR_ID,0))</f>
        <v>#N/A</v>
      </c>
      <c r="T2" s="236" t="s">
        <v>155</v>
      </c>
      <c r="U2" s="238"/>
      <c r="V2" s="5463"/>
      <c r="W2" s="5464"/>
      <c r="X2" s="5464"/>
      <c r="Y2" s="5464"/>
      <c r="Z2" s="5464"/>
      <c r="AA2" s="5464"/>
      <c r="AB2" s="5464"/>
      <c r="AC2" s="5465"/>
      <c r="AD2" s="5463" t="e">
        <f>INDEX(PT_DIFFERENTIATION_NTAR,MATCH(A2,PT_DIFFERENTIATION_NTAR_ID,0))</f>
        <v>#N/A</v>
      </c>
      <c r="AE2" s="5464"/>
      <c r="AF2" s="5464"/>
      <c r="AG2" s="5464"/>
      <c r="AH2" s="5464"/>
      <c r="AI2" s="5464"/>
      <c r="AJ2" s="5464"/>
      <c r="AK2" s="5464"/>
      <c r="AL2" s="5465"/>
      <c r="AM2" s="1179" t="s">
        <v>489</v>
      </c>
      <c r="AO2" s="438"/>
      <c r="AP2" s="438" t="str">
        <f t="shared" ref="AP2:AP15" si="0">IF(T2="","",T2)</f>
        <v>Наименование тарифа</v>
      </c>
      <c r="AQ2" s="438"/>
      <c r="AR2" s="438"/>
      <c r="AS2" s="1076">
        <v>0</v>
      </c>
    </row>
    <row r="3" spans="1:45" ht="21" hidden="1" customHeight="1">
      <c r="A3" s="1284"/>
      <c r="B3" s="1284"/>
      <c r="C3" s="1284"/>
      <c r="D3" s="1284"/>
      <c r="E3" s="5470"/>
      <c r="F3" s="5469">
        <v>1</v>
      </c>
      <c r="G3" s="1284"/>
      <c r="H3" s="1284"/>
      <c r="I3" s="1284"/>
      <c r="J3" s="1284"/>
      <c r="K3" s="1284"/>
      <c r="L3" s="1285"/>
      <c r="M3" s="1286"/>
      <c r="N3" s="1286"/>
      <c r="O3" s="1286"/>
      <c r="P3" s="1253"/>
      <c r="Q3" s="290"/>
      <c r="R3" s="291"/>
      <c r="S3" s="1257" t="e">
        <f>INDEX(PT_DIFFERENTIATION_NUM_TER,MATCH(B3,PT_DIFFERENTIATION_TER_ID,0))</f>
        <v>#N/A</v>
      </c>
      <c r="T3" s="246" t="s">
        <v>490</v>
      </c>
      <c r="U3" s="238"/>
      <c r="V3" s="5463"/>
      <c r="W3" s="5464"/>
      <c r="X3" s="5464"/>
      <c r="Y3" s="5464"/>
      <c r="Z3" s="5464"/>
      <c r="AA3" s="5464"/>
      <c r="AB3" s="5464"/>
      <c r="AC3" s="5465"/>
      <c r="AD3" s="5463" t="e">
        <f>INDEX(PT_DIFFERENTIATION_TER,MATCH(B3,PT_DIFFERENTIATION_TER_ID,0))</f>
        <v>#N/A</v>
      </c>
      <c r="AE3" s="5464"/>
      <c r="AF3" s="5464"/>
      <c r="AG3" s="5464"/>
      <c r="AH3" s="5464"/>
      <c r="AI3" s="5464"/>
      <c r="AJ3" s="5464"/>
      <c r="AK3" s="5464"/>
      <c r="AL3" s="5465"/>
      <c r="AM3" s="1179" t="s">
        <v>491</v>
      </c>
      <c r="AO3" s="438"/>
      <c r="AP3" s="438" t="str">
        <f t="shared" si="0"/>
        <v>Территория действия тарифа</v>
      </c>
      <c r="AQ3" s="438"/>
      <c r="AR3" s="438"/>
      <c r="AS3" s="1076">
        <v>0</v>
      </c>
    </row>
    <row r="4" spans="1:45" ht="23.25" hidden="1" customHeight="1">
      <c r="A4" s="1284"/>
      <c r="B4" s="1284"/>
      <c r="C4" s="1284"/>
      <c r="D4" s="1284"/>
      <c r="E4" s="5470"/>
      <c r="F4" s="5470"/>
      <c r="G4" s="5469">
        <v>1</v>
      </c>
      <c r="H4" s="1284"/>
      <c r="I4" s="1284"/>
      <c r="J4" s="1284"/>
      <c r="K4" s="1284"/>
      <c r="L4" s="1285"/>
      <c r="M4" s="1286"/>
      <c r="N4" s="1286"/>
      <c r="O4" s="1286"/>
      <c r="P4" s="292"/>
      <c r="Q4" s="290"/>
      <c r="R4" s="291"/>
      <c r="S4" s="1257" t="e">
        <f>INDEX(PT_DIFFERENTIATION_NUM_CS,MATCH(C4,PT_DIFFERENTIATION_CS_ID,0))</f>
        <v>#N/A</v>
      </c>
      <c r="T4" s="247" t="s">
        <v>492</v>
      </c>
      <c r="U4" s="238"/>
      <c r="V4" s="5463"/>
      <c r="W4" s="5464"/>
      <c r="X4" s="5464"/>
      <c r="Y4" s="5464"/>
      <c r="Z4" s="5464"/>
      <c r="AA4" s="5464"/>
      <c r="AB4" s="5464"/>
      <c r="AC4" s="5465"/>
      <c r="AD4" s="5463" t="e">
        <f>INDEX(PT_DIFFERENTIATION_CS,MATCH(C4,PT_DIFFERENTIATION_CS_ID,0))</f>
        <v>#N/A</v>
      </c>
      <c r="AE4" s="5464"/>
      <c r="AF4" s="5464"/>
      <c r="AG4" s="5464"/>
      <c r="AH4" s="5464"/>
      <c r="AI4" s="5464"/>
      <c r="AJ4" s="5464"/>
      <c r="AK4" s="5464"/>
      <c r="AL4" s="5465"/>
      <c r="AM4" s="1179" t="s">
        <v>493</v>
      </c>
      <c r="AO4" s="438"/>
      <c r="AP4" s="438" t="str">
        <f t="shared" si="0"/>
        <v xml:space="preserve">Наименование системы теплоснабжения </v>
      </c>
      <c r="AQ4" s="438"/>
      <c r="AR4" s="438"/>
      <c r="AS4" s="1076">
        <v>0</v>
      </c>
    </row>
    <row r="5" spans="1:45" ht="21" hidden="1" customHeight="1">
      <c r="A5" s="1284"/>
      <c r="B5" s="1284"/>
      <c r="C5" s="1284"/>
      <c r="D5" s="1284"/>
      <c r="E5" s="5470"/>
      <c r="F5" s="5470"/>
      <c r="G5" s="5470"/>
      <c r="H5" s="5469">
        <v>1</v>
      </c>
      <c r="I5" s="1284"/>
      <c r="J5" s="1284"/>
      <c r="K5" s="1284"/>
      <c r="L5" s="1285"/>
      <c r="M5" s="1286"/>
      <c r="N5" s="1286"/>
      <c r="O5" s="1286"/>
      <c r="P5" s="292"/>
      <c r="Q5" s="290"/>
      <c r="R5" s="291"/>
      <c r="S5" s="1257" t="e">
        <f>INDEX(PT_DIFFERENTIATION_NUM_IST_TE,MATCH(D5,PT_DIFFERENTIATION_IST_TE_ID,0))</f>
        <v>#N/A</v>
      </c>
      <c r="T5" s="248" t="s">
        <v>494</v>
      </c>
      <c r="U5" s="238"/>
      <c r="V5" s="5463"/>
      <c r="W5" s="5464"/>
      <c r="X5" s="5464"/>
      <c r="Y5" s="5464"/>
      <c r="Z5" s="5464"/>
      <c r="AA5" s="5464"/>
      <c r="AB5" s="5464"/>
      <c r="AC5" s="5465"/>
      <c r="AD5" s="5463" t="e">
        <f>INDEX(PT_DIFFERENTIATION_IST_TE,MATCH(D5,PT_DIFFERENTIATION_IST_TE_ID,0))</f>
        <v>#N/A</v>
      </c>
      <c r="AE5" s="5464"/>
      <c r="AF5" s="5464"/>
      <c r="AG5" s="5464"/>
      <c r="AH5" s="5464"/>
      <c r="AI5" s="5464"/>
      <c r="AJ5" s="5464"/>
      <c r="AK5" s="5464"/>
      <c r="AL5" s="5465"/>
      <c r="AM5" s="1179" t="s">
        <v>495</v>
      </c>
      <c r="AO5" s="438"/>
      <c r="AP5" s="438" t="str">
        <f t="shared" si="0"/>
        <v xml:space="preserve">Источник тепловой энергии  </v>
      </c>
      <c r="AQ5" s="438"/>
      <c r="AR5" s="438"/>
      <c r="AS5" s="1076">
        <v>0</v>
      </c>
    </row>
    <row r="6" spans="1:45" ht="47.25" hidden="1" customHeight="1">
      <c r="A6" s="1284"/>
      <c r="B6" s="1284"/>
      <c r="C6" s="1284"/>
      <c r="D6" s="1284"/>
      <c r="E6" s="5470"/>
      <c r="F6" s="5470"/>
      <c r="G6" s="5470"/>
      <c r="H6" s="5470"/>
      <c r="I6" s="5471" t="e">
        <f>S5&amp;".1"</f>
        <v>#N/A</v>
      </c>
      <c r="J6" s="1284"/>
      <c r="K6" s="1284"/>
      <c r="L6" s="1285" t="s">
        <v>496</v>
      </c>
      <c r="M6" s="475"/>
      <c r="P6" s="5473">
        <v>1</v>
      </c>
      <c r="Q6" s="1252"/>
      <c r="R6" s="294"/>
      <c r="S6" s="1257" t="e">
        <f>$I6</f>
        <v>#N/A</v>
      </c>
      <c r="T6" s="223" t="s">
        <v>497</v>
      </c>
      <c r="U6" s="238"/>
      <c r="V6" s="5457"/>
      <c r="W6" s="5458"/>
      <c r="X6" s="5458"/>
      <c r="Y6" s="5458"/>
      <c r="Z6" s="5458"/>
      <c r="AA6" s="5458"/>
      <c r="AB6" s="5458"/>
      <c r="AC6" s="5459"/>
      <c r="AD6" s="5457"/>
      <c r="AE6" s="5458"/>
      <c r="AF6" s="5458"/>
      <c r="AG6" s="5458"/>
      <c r="AH6" s="5458"/>
      <c r="AI6" s="5458"/>
      <c r="AJ6" s="5458"/>
      <c r="AK6" s="5458"/>
      <c r="AL6" s="5459"/>
      <c r="AM6" s="1179" t="s">
        <v>498</v>
      </c>
      <c r="AO6" s="438"/>
      <c r="AP6" s="438" t="str">
        <f t="shared" si="0"/>
        <v>Схема подключения теплопотребляющей установки к коллектору источника тепловой энергии</v>
      </c>
      <c r="AQ6" s="438"/>
      <c r="AR6" s="438"/>
      <c r="AS6" s="1076">
        <v>0</v>
      </c>
    </row>
    <row r="7" spans="1:45" ht="21" hidden="1" customHeight="1">
      <c r="A7" s="1284"/>
      <c r="B7" s="1284"/>
      <c r="C7" s="1284"/>
      <c r="D7" s="1284"/>
      <c r="E7" s="5470"/>
      <c r="F7" s="5470"/>
      <c r="G7" s="5470"/>
      <c r="H7" s="5470"/>
      <c r="I7" s="5472"/>
      <c r="J7" s="5471" t="e">
        <f>I6&amp;".1"</f>
        <v>#N/A</v>
      </c>
      <c r="K7" s="1284"/>
      <c r="L7" s="1285" t="s">
        <v>499</v>
      </c>
      <c r="M7" s="475"/>
      <c r="N7" s="1287"/>
      <c r="P7" s="5473"/>
      <c r="Q7" s="5473">
        <v>1</v>
      </c>
      <c r="R7" s="295"/>
      <c r="S7" s="1257" t="e">
        <f>$J7</f>
        <v>#N/A</v>
      </c>
      <c r="T7" s="224" t="s">
        <v>500</v>
      </c>
      <c r="U7" s="238"/>
      <c r="V7" s="5457"/>
      <c r="W7" s="5458"/>
      <c r="X7" s="5458"/>
      <c r="Y7" s="5458"/>
      <c r="Z7" s="5458"/>
      <c r="AA7" s="5458"/>
      <c r="AB7" s="5458"/>
      <c r="AC7" s="5459"/>
      <c r="AD7" s="5457"/>
      <c r="AE7" s="5458"/>
      <c r="AF7" s="5458"/>
      <c r="AG7" s="5458"/>
      <c r="AH7" s="5458"/>
      <c r="AI7" s="5458"/>
      <c r="AJ7" s="5458"/>
      <c r="AK7" s="5458"/>
      <c r="AL7" s="5459"/>
      <c r="AM7" s="1179" t="s">
        <v>501</v>
      </c>
      <c r="AO7" s="438"/>
      <c r="AP7" s="438" t="str">
        <f t="shared" si="0"/>
        <v>Группа потребителей</v>
      </c>
      <c r="AQ7" s="438"/>
      <c r="AR7" s="438"/>
      <c r="AS7" s="1076">
        <v>0</v>
      </c>
    </row>
    <row r="8" spans="1:45" ht="21" hidden="1" customHeight="1">
      <c r="A8" s="1284"/>
      <c r="B8" s="1284"/>
      <c r="C8" s="1284"/>
      <c r="D8" s="1284"/>
      <c r="E8" s="5470"/>
      <c r="F8" s="5470"/>
      <c r="G8" s="5470"/>
      <c r="H8" s="5470"/>
      <c r="I8" s="5472"/>
      <c r="J8" s="5472"/>
      <c r="K8" s="5471" t="e">
        <f>J7&amp;".1"</f>
        <v>#N/A</v>
      </c>
      <c r="L8" s="1285" t="s">
        <v>502</v>
      </c>
      <c r="M8" s="475"/>
      <c r="N8" s="1287"/>
      <c r="O8" s="1287"/>
      <c r="P8" s="5473"/>
      <c r="Q8" s="5473"/>
      <c r="R8" s="295">
        <v>1</v>
      </c>
      <c r="S8" s="1257" t="e">
        <f>$K8</f>
        <v>#N/A</v>
      </c>
      <c r="T8" s="1268"/>
      <c r="U8" s="238"/>
      <c r="V8" s="263"/>
      <c r="W8" s="689"/>
      <c r="X8" s="263"/>
      <c r="Y8" s="322"/>
      <c r="Z8" s="5474"/>
      <c r="AA8" s="5338" t="s">
        <v>66</v>
      </c>
      <c r="AB8" s="5474"/>
      <c r="AC8" s="5338" t="s">
        <v>66</v>
      </c>
      <c r="AD8" s="263"/>
      <c r="AE8" s="689"/>
      <c r="AF8" s="263"/>
      <c r="AG8" s="322"/>
      <c r="AH8" s="5474"/>
      <c r="AI8" s="5338" t="s">
        <v>66</v>
      </c>
      <c r="AJ8" s="5474"/>
      <c r="AK8" s="5338" t="s">
        <v>66</v>
      </c>
      <c r="AL8" s="263"/>
      <c r="AM8" s="5492" t="s">
        <v>503</v>
      </c>
      <c r="AN8" s="449" t="e">
        <f ca="1">STRCHECKDATE(V9:AL9)</f>
        <v>#NAME?</v>
      </c>
      <c r="AO8" s="438"/>
      <c r="AP8" s="438" t="str">
        <f t="shared" si="0"/>
        <v/>
      </c>
      <c r="AQ8" s="438"/>
      <c r="AR8" s="438"/>
      <c r="AS8" s="1076">
        <v>0</v>
      </c>
    </row>
    <row r="9" spans="1:45" ht="0.75" hidden="1" customHeight="1">
      <c r="A9" s="1284"/>
      <c r="B9" s="1284"/>
      <c r="C9" s="1284"/>
      <c r="D9" s="1284"/>
      <c r="E9" s="5470"/>
      <c r="F9" s="5470"/>
      <c r="G9" s="5470"/>
      <c r="H9" s="5470"/>
      <c r="I9" s="5472"/>
      <c r="J9" s="5472"/>
      <c r="K9" s="5471"/>
      <c r="L9" s="1285"/>
      <c r="M9" s="475"/>
      <c r="N9" s="1287"/>
      <c r="O9" s="1287"/>
      <c r="P9" s="5473"/>
      <c r="Q9" s="5473"/>
      <c r="R9" s="295"/>
      <c r="S9" s="1263"/>
      <c r="T9" s="238"/>
      <c r="U9" s="238"/>
      <c r="V9" s="263"/>
      <c r="W9" s="263"/>
      <c r="X9" s="263"/>
      <c r="Y9" s="266" t="str">
        <f>Z8&amp;"-"&amp;AB8</f>
        <v>-</v>
      </c>
      <c r="Z9" s="5475"/>
      <c r="AA9" s="5338"/>
      <c r="AB9" s="5475"/>
      <c r="AC9" s="5338"/>
      <c r="AD9" s="263"/>
      <c r="AE9" s="263"/>
      <c r="AF9" s="263"/>
      <c r="AG9" s="266" t="str">
        <f>AH8&amp;"-"&amp;AJ8</f>
        <v>-</v>
      </c>
      <c r="AH9" s="5475"/>
      <c r="AI9" s="5338"/>
      <c r="AJ9" s="5475"/>
      <c r="AK9" s="5338"/>
      <c r="AL9" s="263"/>
      <c r="AM9" s="5493"/>
      <c r="AO9" s="438"/>
      <c r="AP9" s="438" t="str">
        <f t="shared" si="0"/>
        <v/>
      </c>
      <c r="AQ9" s="438"/>
      <c r="AR9" s="438"/>
      <c r="AS9" s="1076">
        <v>0</v>
      </c>
    </row>
    <row r="10" spans="1:45" ht="15" hidden="1" customHeight="1">
      <c r="A10" s="1284"/>
      <c r="B10" s="1284"/>
      <c r="C10" s="1284"/>
      <c r="D10" s="1284"/>
      <c r="E10" s="5470"/>
      <c r="F10" s="5470"/>
      <c r="G10" s="5470"/>
      <c r="H10" s="5470"/>
      <c r="I10" s="5472"/>
      <c r="J10" s="5471"/>
      <c r="K10" s="1284"/>
      <c r="L10" s="1285"/>
      <c r="M10" s="475"/>
      <c r="N10" s="1287"/>
      <c r="P10" s="5473"/>
      <c r="Q10" s="5473"/>
      <c r="R10" s="294"/>
      <c r="S10" s="1199"/>
      <c r="T10" s="226" t="s">
        <v>504</v>
      </c>
      <c r="U10" s="305"/>
      <c r="V10" s="305"/>
      <c r="W10" s="305"/>
      <c r="X10" s="305"/>
      <c r="Y10" s="305"/>
      <c r="Z10" s="305"/>
      <c r="AA10" s="305"/>
      <c r="AB10" s="305"/>
      <c r="AC10" s="305"/>
      <c r="AD10" s="305"/>
      <c r="AE10" s="305"/>
      <c r="AF10" s="305"/>
      <c r="AG10" s="305"/>
      <c r="AH10" s="305"/>
      <c r="AI10" s="305"/>
      <c r="AJ10" s="305"/>
      <c r="AK10" s="305"/>
      <c r="AL10" s="262"/>
      <c r="AM10" s="5494"/>
      <c r="AO10" s="438"/>
      <c r="AP10" s="438" t="str">
        <f t="shared" si="0"/>
        <v>Добавить вид теплоносителя (параметры теплоносителя)</v>
      </c>
      <c r="AQ10" s="438"/>
      <c r="AR10" s="438"/>
      <c r="AS10" s="1076">
        <v>0</v>
      </c>
    </row>
    <row r="11" spans="1:45" ht="15" hidden="1" customHeight="1">
      <c r="A11" s="1284"/>
      <c r="B11" s="1284"/>
      <c r="C11" s="1284"/>
      <c r="D11" s="1284"/>
      <c r="E11" s="5470"/>
      <c r="F11" s="5470"/>
      <c r="G11" s="5470"/>
      <c r="H11" s="5470"/>
      <c r="I11" s="5471"/>
      <c r="J11" s="1284"/>
      <c r="K11" s="1284"/>
      <c r="L11" s="1285"/>
      <c r="M11" s="475"/>
      <c r="P11" s="5473"/>
      <c r="Q11" s="1252"/>
      <c r="R11" s="294"/>
      <c r="S11" s="1199"/>
      <c r="T11" s="225" t="s">
        <v>505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76">
        <v>0</v>
      </c>
    </row>
    <row r="12" spans="1:45" ht="14.25" hidden="1" customHeight="1">
      <c r="A12" s="1284"/>
      <c r="B12" s="1284"/>
      <c r="C12" s="1284"/>
      <c r="D12" s="1284"/>
      <c r="E12" s="5470"/>
      <c r="F12" s="5470"/>
      <c r="G12" s="5470"/>
      <c r="H12" s="5469"/>
      <c r="I12" s="1284"/>
      <c r="J12" s="1284"/>
      <c r="K12" s="1284"/>
      <c r="L12" s="1285"/>
      <c r="M12" s="1286"/>
      <c r="N12" s="1286"/>
      <c r="O12" s="475"/>
      <c r="P12" s="298"/>
      <c r="Q12" s="313"/>
      <c r="R12" s="293"/>
      <c r="S12" s="1199"/>
      <c r="T12" s="303" t="s">
        <v>506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76">
        <v>0</v>
      </c>
    </row>
    <row r="13" spans="1:45" s="4275" customFormat="1" ht="0.75" hidden="1" customHeight="1">
      <c r="A13" s="1235"/>
      <c r="B13" s="1235"/>
      <c r="C13" s="1235"/>
      <c r="D13" s="1235"/>
      <c r="E13" s="5470"/>
      <c r="F13" s="5470"/>
      <c r="G13" s="5469"/>
      <c r="H13" s="1235"/>
      <c r="I13" s="1235"/>
      <c r="J13" s="1235"/>
      <c r="K13" s="1235"/>
      <c r="L13" s="1260"/>
      <c r="M13" s="1236"/>
      <c r="N13" s="1236"/>
      <c r="P13" s="1237"/>
      <c r="Q13" s="1238"/>
      <c r="R13" s="1237"/>
      <c r="S13" s="1239"/>
      <c r="T13" s="1240" t="s">
        <v>507</v>
      </c>
      <c r="U13" s="1241"/>
      <c r="V13" s="1241"/>
      <c r="W13" s="1241"/>
      <c r="X13" s="1241"/>
      <c r="Y13" s="1241"/>
      <c r="Z13" s="1241"/>
      <c r="AA13" s="1241"/>
      <c r="AB13" s="1241"/>
      <c r="AC13" s="1241"/>
      <c r="AD13" s="1241"/>
      <c r="AE13" s="1241"/>
      <c r="AF13" s="1241"/>
      <c r="AG13" s="1241"/>
      <c r="AH13" s="1241"/>
      <c r="AI13" s="1241"/>
      <c r="AJ13" s="1241"/>
      <c r="AK13" s="1241"/>
      <c r="AL13" s="1241"/>
      <c r="AM13" s="1241"/>
      <c r="AO13" s="721"/>
      <c r="AP13" s="721" t="str">
        <f t="shared" si="0"/>
        <v>Добавить источник для дифференциации</v>
      </c>
      <c r="AQ13" s="721"/>
      <c r="AR13" s="721"/>
      <c r="AS13" s="456">
        <v>0</v>
      </c>
    </row>
    <row r="14" spans="1:45" s="4275" customFormat="1" ht="0.75" hidden="1" customHeight="1">
      <c r="A14" s="1235"/>
      <c r="B14" s="1235"/>
      <c r="C14" s="1235"/>
      <c r="D14" s="1235"/>
      <c r="E14" s="5470"/>
      <c r="F14" s="5469"/>
      <c r="G14" s="1235"/>
      <c r="H14" s="1235"/>
      <c r="I14" s="1235"/>
      <c r="J14" s="1235"/>
      <c r="K14" s="1235"/>
      <c r="L14" s="1260"/>
      <c r="M14" s="1242"/>
      <c r="N14" s="1242"/>
      <c r="P14" s="1237"/>
      <c r="Q14" s="1238"/>
      <c r="R14" s="1237"/>
      <c r="S14" s="1243"/>
      <c r="T14" s="1244" t="s">
        <v>312</v>
      </c>
      <c r="U14" s="1245"/>
      <c r="V14" s="1245"/>
      <c r="W14" s="1245"/>
      <c r="X14" s="1245"/>
      <c r="Y14" s="1245"/>
      <c r="Z14" s="1245"/>
      <c r="AA14" s="1245"/>
      <c r="AB14" s="1245"/>
      <c r="AC14" s="1245"/>
      <c r="AD14" s="1245"/>
      <c r="AE14" s="1245"/>
      <c r="AF14" s="1245"/>
      <c r="AG14" s="1245"/>
      <c r="AH14" s="1245"/>
      <c r="AI14" s="1245"/>
      <c r="AJ14" s="1245"/>
      <c r="AK14" s="1245"/>
      <c r="AL14" s="1245"/>
      <c r="AM14" s="1245"/>
      <c r="AO14" s="721"/>
      <c r="AP14" s="721" t="str">
        <f t="shared" si="0"/>
        <v>Добавить централизованную систему для дифференциации</v>
      </c>
      <c r="AQ14" s="721"/>
      <c r="AR14" s="721"/>
      <c r="AS14" s="456">
        <v>0</v>
      </c>
    </row>
    <row r="15" spans="1:45" s="4275" customFormat="1" ht="0.75" hidden="1" customHeight="1">
      <c r="A15" s="1235"/>
      <c r="B15" s="1235"/>
      <c r="C15" s="1235"/>
      <c r="D15" s="1235"/>
      <c r="E15" s="5469"/>
      <c r="F15" s="1235"/>
      <c r="G15" s="1235"/>
      <c r="H15" s="1235"/>
      <c r="I15" s="1235"/>
      <c r="J15" s="1235"/>
      <c r="K15" s="1235"/>
      <c r="L15" s="1260"/>
      <c r="M15" s="1242"/>
      <c r="N15" s="1242"/>
      <c r="P15" s="1237"/>
      <c r="Q15" s="1238"/>
      <c r="R15" s="1237"/>
      <c r="S15" s="1243"/>
      <c r="T15" s="1246" t="s">
        <v>360</v>
      </c>
      <c r="U15" s="1245"/>
      <c r="V15" s="1245"/>
      <c r="W15" s="1245"/>
      <c r="X15" s="1245"/>
      <c r="Y15" s="1245"/>
      <c r="Z15" s="1245"/>
      <c r="AA15" s="1245"/>
      <c r="AB15" s="1245"/>
      <c r="AC15" s="1245"/>
      <c r="AD15" s="1245"/>
      <c r="AE15" s="1245"/>
      <c r="AF15" s="1245"/>
      <c r="AG15" s="1245"/>
      <c r="AH15" s="1245"/>
      <c r="AI15" s="1245"/>
      <c r="AJ15" s="1245"/>
      <c r="AK15" s="1245"/>
      <c r="AL15" s="1245"/>
      <c r="AM15" s="1245"/>
      <c r="AO15" s="721"/>
      <c r="AP15" s="721" t="str">
        <f t="shared" si="0"/>
        <v>Добавить территорию для дифференциации</v>
      </c>
      <c r="AQ15" s="721"/>
      <c r="AR15" s="721"/>
      <c r="AS15" s="456">
        <v>0</v>
      </c>
    </row>
    <row r="16" spans="1:45" ht="14.25" hidden="1" customHeight="1">
      <c r="AC16" s="265"/>
      <c r="AK16" s="265"/>
      <c r="AS16" s="1076">
        <v>0</v>
      </c>
    </row>
    <row r="17" spans="1:45" ht="14.25" hidden="1" customHeight="1">
      <c r="AD17" s="1281"/>
      <c r="AE17" s="1281"/>
      <c r="AF17" s="1281"/>
      <c r="AG17" s="1282"/>
      <c r="AH17" s="5467"/>
      <c r="AI17" s="5466" t="s">
        <v>66</v>
      </c>
      <c r="AJ17" s="5467"/>
      <c r="AK17" s="5466" t="s">
        <v>66</v>
      </c>
      <c r="AS17" s="1076">
        <v>0</v>
      </c>
    </row>
    <row r="18" spans="1:45" ht="14.25" hidden="1" customHeight="1">
      <c r="AD18" s="1281"/>
      <c r="AE18" s="1281"/>
      <c r="AF18" s="1281"/>
      <c r="AG18" s="266" t="str">
        <f>AH17&amp;"-"&amp;AJ17</f>
        <v>-</v>
      </c>
      <c r="AH18" s="5466"/>
      <c r="AI18" s="5466"/>
      <c r="AJ18" s="5466"/>
      <c r="AK18" s="5466"/>
      <c r="AS18" s="1076">
        <v>0</v>
      </c>
    </row>
    <row r="19" spans="1:45" ht="14.25" hidden="1" customHeight="1">
      <c r="AK19" s="265"/>
      <c r="AS19" s="1076">
        <v>0</v>
      </c>
    </row>
    <row r="20" spans="1:45" s="4274" customFormat="1" ht="22.5" hidden="1" customHeight="1">
      <c r="L20" s="1250"/>
      <c r="M20" s="1283"/>
      <c r="N20" s="1283"/>
      <c r="O20" s="1288" t="s">
        <v>508</v>
      </c>
      <c r="P20" s="1283"/>
      <c r="Q20" s="1292"/>
      <c r="R20" s="1292"/>
      <c r="S20" s="667"/>
      <c r="Z20" s="1288"/>
      <c r="AB20" s="1288"/>
      <c r="AC20" s="1287"/>
      <c r="AH20" s="1288"/>
      <c r="AJ20" s="1288"/>
      <c r="AK20" s="1287"/>
      <c r="AN20" s="449"/>
      <c r="AO20" s="449"/>
      <c r="AP20" s="449"/>
      <c r="AQ20" s="449"/>
      <c r="AR20" s="449"/>
      <c r="AS20" s="1081">
        <v>0</v>
      </c>
    </row>
    <row r="21" spans="1:45" s="4274" customFormat="1" ht="14.25" hidden="1" customHeight="1">
      <c r="L21" s="1250"/>
      <c r="M21" s="1283"/>
      <c r="N21" s="1283"/>
      <c r="O21" s="1283"/>
      <c r="P21" s="1283"/>
      <c r="Q21" s="1292"/>
      <c r="R21" s="1292"/>
      <c r="S21" s="667"/>
      <c r="AC21" s="1287"/>
      <c r="AK21" s="1287"/>
      <c r="AN21" s="449"/>
      <c r="AO21" s="449"/>
      <c r="AP21" s="449"/>
      <c r="AQ21" s="449"/>
      <c r="AR21" s="449"/>
      <c r="AS21" s="1081">
        <v>0</v>
      </c>
    </row>
    <row r="22" spans="1:45" s="4274" customFormat="1" ht="33.75" hidden="1" customHeight="1">
      <c r="L22" s="1250"/>
      <c r="M22" s="1283"/>
      <c r="N22" s="1283"/>
      <c r="O22" s="1285" t="s">
        <v>509</v>
      </c>
      <c r="P22" s="1283"/>
      <c r="Q22" s="1292"/>
      <c r="R22" s="1292"/>
      <c r="S22" s="667"/>
      <c r="T22" s="1081" t="s">
        <v>510</v>
      </c>
      <c r="AA22" s="124" t="s">
        <v>511</v>
      </c>
      <c r="AC22" s="124" t="s">
        <v>512</v>
      </c>
      <c r="AD22" s="1081" t="s">
        <v>510</v>
      </c>
      <c r="AI22" s="124" t="s">
        <v>513</v>
      </c>
      <c r="AK22" s="124" t="s">
        <v>512</v>
      </c>
      <c r="AN22" s="449"/>
      <c r="AO22" s="449"/>
      <c r="AP22" s="449"/>
      <c r="AQ22" s="449"/>
      <c r="AR22" s="449"/>
      <c r="AS22" s="1081">
        <v>0</v>
      </c>
    </row>
    <row r="23" spans="1:45" ht="14.25" hidden="1" customHeight="1">
      <c r="O23" s="1285"/>
      <c r="AS23" s="1076">
        <v>0</v>
      </c>
    </row>
    <row r="24" spans="1:45" ht="14.25" hidden="1" customHeight="1">
      <c r="O24" s="1285"/>
      <c r="AS24" s="1076">
        <v>0</v>
      </c>
    </row>
    <row r="25" spans="1:45" ht="14.65" customHeight="1">
      <c r="Q25" s="314"/>
      <c r="R25" s="314"/>
      <c r="S25" s="1196"/>
      <c r="T25" s="301"/>
      <c r="U25" s="301"/>
      <c r="V25" s="447"/>
      <c r="W25" s="447"/>
      <c r="X25" s="447"/>
      <c r="Y25" s="447"/>
      <c r="Z25" s="447"/>
      <c r="AA25" s="447"/>
      <c r="AB25" s="447"/>
      <c r="AC25" s="447"/>
      <c r="AD25" s="447"/>
      <c r="AE25" s="447"/>
      <c r="AF25" s="447"/>
      <c r="AG25" s="447"/>
      <c r="AH25" s="447"/>
      <c r="AI25" s="447"/>
      <c r="AJ25" s="447"/>
      <c r="AK25" s="447"/>
      <c r="AS25" s="1076">
        <v>14</v>
      </c>
    </row>
    <row r="26" spans="1:45" ht="29.25" customHeight="1">
      <c r="Q26" s="314"/>
      <c r="R26" s="314"/>
      <c r="S26" s="5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450"/>
      <c r="U26" s="5450"/>
      <c r="V26" s="5450"/>
      <c r="W26" s="5450"/>
      <c r="X26" s="5450"/>
      <c r="Y26" s="5450"/>
      <c r="Z26" s="5450"/>
      <c r="AA26" s="5450"/>
      <c r="AB26" s="5450"/>
      <c r="AC26" s="5450"/>
      <c r="AD26" s="5450"/>
      <c r="AE26" s="5450"/>
      <c r="AF26" s="5450"/>
      <c r="AG26" s="5450"/>
      <c r="AH26" s="5450"/>
      <c r="AI26" s="5450"/>
      <c r="AJ26" s="5450"/>
      <c r="AK26" s="1164"/>
      <c r="AS26" s="1076">
        <v>28</v>
      </c>
    </row>
    <row r="27" spans="1:45" ht="14.65" customHeight="1">
      <c r="Q27" s="314"/>
      <c r="R27" s="314"/>
      <c r="S27" s="5423" t="str">
        <f>IF(org=0,"Не определено",org)</f>
        <v>КГУП "Примтеплоэнерго"</v>
      </c>
      <c r="T27" s="5423"/>
      <c r="U27" s="5423"/>
      <c r="V27" s="5423"/>
      <c r="W27" s="5423"/>
      <c r="X27" s="5423"/>
      <c r="Y27" s="5423"/>
      <c r="Z27" s="5423"/>
      <c r="AA27" s="5423"/>
      <c r="AB27" s="5423"/>
      <c r="AC27" s="5423"/>
      <c r="AD27" s="5423"/>
      <c r="AE27" s="5423"/>
      <c r="AF27" s="5423"/>
      <c r="AG27" s="5423"/>
      <c r="AH27" s="5423"/>
      <c r="AI27" s="5423"/>
      <c r="AJ27" s="5423"/>
      <c r="AK27" s="1164"/>
      <c r="AS27" s="1076">
        <v>14</v>
      </c>
    </row>
    <row r="28" spans="1:45" ht="14.25" hidden="1" customHeight="1">
      <c r="Q28" s="314"/>
      <c r="R28" s="314"/>
      <c r="S28" s="1196"/>
      <c r="T28" s="301"/>
      <c r="U28" s="301"/>
      <c r="V28" s="260"/>
      <c r="W28" s="260"/>
      <c r="X28" s="260"/>
      <c r="Y28" s="260"/>
      <c r="Z28" s="260"/>
      <c r="AA28" s="260"/>
      <c r="AB28" s="260"/>
      <c r="AC28" s="260"/>
      <c r="AD28" s="260"/>
      <c r="AE28" s="260"/>
      <c r="AF28" s="260"/>
      <c r="AG28" s="260"/>
      <c r="AH28" s="260"/>
      <c r="AI28" s="260"/>
      <c r="AJ28" s="260"/>
      <c r="AK28" s="260"/>
      <c r="AL28" s="447"/>
      <c r="AS28" s="1076">
        <v>0</v>
      </c>
    </row>
    <row r="29" spans="1:45" s="4284" customFormat="1" ht="25.5" hidden="1" customHeight="1">
      <c r="A29" s="1289"/>
      <c r="B29" s="1289"/>
      <c r="C29" s="1289"/>
      <c r="D29" s="1289"/>
      <c r="E29" s="1289"/>
      <c r="F29" s="1289"/>
      <c r="G29" s="1289"/>
      <c r="H29" s="1289"/>
      <c r="I29" s="1289"/>
      <c r="J29" s="1289"/>
      <c r="K29" s="1289"/>
      <c r="L29" s="1290"/>
      <c r="M29" s="1289"/>
      <c r="N29" s="1289"/>
      <c r="O29" s="1289"/>
      <c r="S29" s="5460" t="s">
        <v>42</v>
      </c>
      <c r="T29" s="5460"/>
      <c r="U29" s="1293"/>
      <c r="V29" s="5462" t="str">
        <f>IF(TITLE_NAME_OR_PR_CHANGE="",IF(TITLE_NAME_OR_PR="","",TITLE_NAME_OR_PR),TITLE_NAME_OR_PR_CHANGE)</f>
        <v/>
      </c>
      <c r="W29" s="5462"/>
      <c r="X29" s="5462"/>
      <c r="Y29" s="5462"/>
      <c r="Z29" s="5462"/>
      <c r="AA29" s="5462"/>
      <c r="AB29" s="5462"/>
      <c r="AC29" s="264"/>
      <c r="AD29" s="5462" t="str">
        <f>IF(TITLE_NAME_OR_PR_CHANGE="",IF(TITLE_NAME_OR_PR="","",TITLE_NAME_OR_PR),TITLE_NAME_OR_PR_CHANGE)</f>
        <v/>
      </c>
      <c r="AE29" s="5462"/>
      <c r="AF29" s="5462"/>
      <c r="AG29" s="5462"/>
      <c r="AH29" s="5462"/>
      <c r="AI29" s="5462"/>
      <c r="AJ29" s="5462"/>
      <c r="AK29" s="264"/>
      <c r="AL29" s="264"/>
      <c r="AM29" s="218"/>
      <c r="AN29" s="306"/>
      <c r="AO29" s="306"/>
      <c r="AP29" s="306"/>
      <c r="AQ29" s="306"/>
      <c r="AR29" s="306"/>
      <c r="AS29" s="356">
        <v>0</v>
      </c>
    </row>
    <row r="30" spans="1:45" s="4284" customFormat="1" ht="18.75" hidden="1" customHeight="1">
      <c r="A30" s="1289"/>
      <c r="B30" s="1289"/>
      <c r="C30" s="1289"/>
      <c r="D30" s="1289"/>
      <c r="E30" s="1289"/>
      <c r="F30" s="1289"/>
      <c r="G30" s="1289"/>
      <c r="H30" s="1289"/>
      <c r="I30" s="1289"/>
      <c r="J30" s="1289"/>
      <c r="K30" s="1289"/>
      <c r="L30" s="1290"/>
      <c r="M30" s="1289"/>
      <c r="N30" s="1289"/>
      <c r="O30" s="1289"/>
      <c r="S30" s="5460" t="s">
        <v>514</v>
      </c>
      <c r="T30" s="5460"/>
      <c r="U30" s="1293"/>
      <c r="V30" s="5461">
        <f>IF(TITLE_DATE_PR_CHANGE="",IF(TITLE_DATE_PR="","",TITLE_DATE_PR),TITLE_DATE_PR_CHANGE)</f>
        <v>45649.605891203704</v>
      </c>
      <c r="W30" s="5461"/>
      <c r="X30" s="5461"/>
      <c r="Y30" s="5461"/>
      <c r="Z30" s="5461"/>
      <c r="AA30" s="5461"/>
      <c r="AB30" s="5461"/>
      <c r="AC30" s="264"/>
      <c r="AD30" s="5461">
        <f>IF(TITLE_DATE_PR_CHANGE="",IF(TITLE_DATE_PR="","",TITLE_DATE_PR),TITLE_DATE_PR_CHANGE)</f>
        <v>45649.605891203704</v>
      </c>
      <c r="AE30" s="5461"/>
      <c r="AF30" s="5461"/>
      <c r="AG30" s="5461"/>
      <c r="AH30" s="5461"/>
      <c r="AI30" s="5461"/>
      <c r="AJ30" s="5461"/>
      <c r="AK30" s="264"/>
      <c r="AL30" s="264"/>
      <c r="AM30" s="218"/>
      <c r="AN30" s="306"/>
      <c r="AO30" s="306"/>
      <c r="AP30" s="306"/>
      <c r="AQ30" s="306"/>
      <c r="AR30" s="306"/>
      <c r="AS30" s="356">
        <v>0</v>
      </c>
    </row>
    <row r="31" spans="1:45" s="4284" customFormat="1" ht="18.75" hidden="1" customHeight="1">
      <c r="A31" s="1289"/>
      <c r="B31" s="1289"/>
      <c r="C31" s="1289"/>
      <c r="D31" s="1289"/>
      <c r="E31" s="1289"/>
      <c r="F31" s="1289"/>
      <c r="G31" s="1289"/>
      <c r="H31" s="1289"/>
      <c r="I31" s="1289"/>
      <c r="J31" s="1289"/>
      <c r="K31" s="1289"/>
      <c r="L31" s="1290"/>
      <c r="M31" s="1289"/>
      <c r="N31" s="1289"/>
      <c r="O31" s="1289"/>
      <c r="S31" s="5460" t="s">
        <v>515</v>
      </c>
      <c r="T31" s="5460"/>
      <c r="U31" s="1293"/>
      <c r="V31" s="5462" t="str">
        <f>IF(TITLE_NUMBER_PR_CHANGE="",IF(TITLE_NUMBER_PR="","",TITLE_NUMBER_PR),TITLE_NUMBER_PR_CHANGE)</f>
        <v>27-6414</v>
      </c>
      <c r="W31" s="5462"/>
      <c r="X31" s="5462"/>
      <c r="Y31" s="5462"/>
      <c r="Z31" s="5462"/>
      <c r="AA31" s="5462"/>
      <c r="AB31" s="5462"/>
      <c r="AC31" s="264"/>
      <c r="AD31" s="5462" t="str">
        <f>IF(TITLE_NUMBER_PR_CHANGE="",IF(TITLE_NUMBER_PR="","",TITLE_NUMBER_PR),TITLE_NUMBER_PR_CHANGE)</f>
        <v>27-6414</v>
      </c>
      <c r="AE31" s="5462"/>
      <c r="AF31" s="5462"/>
      <c r="AG31" s="5462"/>
      <c r="AH31" s="5462"/>
      <c r="AI31" s="5462"/>
      <c r="AJ31" s="5462"/>
      <c r="AK31" s="264"/>
      <c r="AL31" s="264"/>
      <c r="AM31" s="218"/>
      <c r="AN31" s="306"/>
      <c r="AO31" s="306"/>
      <c r="AP31" s="306"/>
      <c r="AQ31" s="306"/>
      <c r="AR31" s="306"/>
      <c r="AS31" s="356">
        <v>0</v>
      </c>
    </row>
    <row r="32" spans="1:45" s="4284" customFormat="1" ht="18.75" hidden="1" customHeight="1">
      <c r="A32" s="1289"/>
      <c r="B32" s="1289"/>
      <c r="C32" s="1289"/>
      <c r="D32" s="1289"/>
      <c r="E32" s="1289"/>
      <c r="F32" s="1289"/>
      <c r="G32" s="1289"/>
      <c r="H32" s="1289"/>
      <c r="I32" s="1289"/>
      <c r="J32" s="1289"/>
      <c r="K32" s="1289"/>
      <c r="L32" s="1290"/>
      <c r="M32" s="1289"/>
      <c r="N32" s="1289"/>
      <c r="O32" s="1289"/>
      <c r="S32" s="5460" t="s">
        <v>43</v>
      </c>
      <c r="T32" s="5460"/>
      <c r="U32" s="1293"/>
      <c r="V32" s="5462" t="str">
        <f>IF(TITLE_IST_PUB_CHANGE="",IF(TITLE_IST_PUB="","",TITLE_IST_PUB),TITLE_IST_PUB_CHANGE)</f>
        <v/>
      </c>
      <c r="W32" s="5462"/>
      <c r="X32" s="5462"/>
      <c r="Y32" s="5462"/>
      <c r="Z32" s="5462"/>
      <c r="AA32" s="5462"/>
      <c r="AB32" s="5462"/>
      <c r="AC32" s="264"/>
      <c r="AD32" s="5462" t="str">
        <f>IF(TITLE_IST_PUB_CHANGE="",IF(TITLE_IST_PUB="","",TITLE_IST_PUB),TITLE_IST_PUB_CHANGE)</f>
        <v/>
      </c>
      <c r="AE32" s="5462"/>
      <c r="AF32" s="5462"/>
      <c r="AG32" s="5462"/>
      <c r="AH32" s="5462"/>
      <c r="AI32" s="5462"/>
      <c r="AJ32" s="5462"/>
      <c r="AK32" s="264"/>
      <c r="AL32" s="264"/>
      <c r="AM32" s="218"/>
      <c r="AN32" s="306"/>
      <c r="AO32" s="306"/>
      <c r="AP32" s="306"/>
      <c r="AQ32" s="306"/>
      <c r="AR32" s="306"/>
      <c r="AS32" s="356">
        <v>0</v>
      </c>
    </row>
    <row r="33" spans="1:45" ht="14.25" customHeight="1">
      <c r="Q33" s="314"/>
      <c r="R33" s="314"/>
      <c r="S33" s="1196"/>
      <c r="T33" s="301"/>
      <c r="U33" s="301"/>
      <c r="V33" s="260"/>
      <c r="W33" s="260"/>
      <c r="X33" s="260"/>
      <c r="Y33" s="260"/>
      <c r="Z33" s="260"/>
      <c r="AA33" s="260"/>
      <c r="AB33" s="260"/>
      <c r="AC33" s="260"/>
      <c r="AD33" s="260"/>
      <c r="AE33" s="260"/>
      <c r="AF33" s="260"/>
      <c r="AG33" s="260"/>
      <c r="AH33" s="260"/>
      <c r="AI33" s="260"/>
      <c r="AJ33" s="260"/>
      <c r="AK33" s="260"/>
      <c r="AL33" s="447"/>
      <c r="AS33" s="1076">
        <v>0</v>
      </c>
    </row>
    <row r="34" spans="1:45" s="4284" customFormat="1" ht="18.75" customHeight="1">
      <c r="A34" s="1289"/>
      <c r="B34" s="1289"/>
      <c r="C34" s="1289"/>
      <c r="D34" s="1289"/>
      <c r="E34" s="1289"/>
      <c r="F34" s="1289"/>
      <c r="G34" s="1289"/>
      <c r="H34" s="1289"/>
      <c r="I34" s="1289"/>
      <c r="J34" s="1289"/>
      <c r="K34" s="1289"/>
      <c r="L34" s="1290"/>
      <c r="M34" s="1289"/>
      <c r="N34" s="1289"/>
      <c r="O34" s="1289"/>
      <c r="S34" s="5460" t="s">
        <v>516</v>
      </c>
      <c r="T34" s="5460"/>
      <c r="U34" s="1293"/>
      <c r="V34" s="5461">
        <f>IF(TITLE_DATE_PR_CHANGE="",IF(TITLE_DATE_PR="","",TITLE_DATE_PR),TITLE_DATE_PR_CHANGE)</f>
        <v>45649.605891203704</v>
      </c>
      <c r="W34" s="5461"/>
      <c r="X34" s="5461"/>
      <c r="Y34" s="5461"/>
      <c r="Z34" s="5461"/>
      <c r="AA34" s="5461"/>
      <c r="AB34" s="5461"/>
      <c r="AC34" s="264"/>
      <c r="AD34" s="5461">
        <f>IF(TITLE_DATE_PR_CHANGE="",IF(TITLE_DATE_PR="","",TITLE_DATE_PR),TITLE_DATE_PR_CHANGE)</f>
        <v>45649.605891203704</v>
      </c>
      <c r="AE34" s="5461"/>
      <c r="AF34" s="5461"/>
      <c r="AG34" s="5461"/>
      <c r="AH34" s="5461"/>
      <c r="AI34" s="5461"/>
      <c r="AJ34" s="5461"/>
      <c r="AK34" s="264"/>
      <c r="AL34" s="264"/>
      <c r="AM34" s="218"/>
      <c r="AN34" s="306"/>
      <c r="AO34" s="306"/>
      <c r="AP34" s="306"/>
      <c r="AQ34" s="306"/>
      <c r="AR34" s="306"/>
      <c r="AS34" s="356">
        <v>0</v>
      </c>
    </row>
    <row r="35" spans="1:45" s="4284" customFormat="1" ht="18.75" customHeight="1">
      <c r="A35" s="1289"/>
      <c r="B35" s="1289"/>
      <c r="C35" s="1289"/>
      <c r="D35" s="1289"/>
      <c r="E35" s="1289"/>
      <c r="F35" s="1289"/>
      <c r="G35" s="1289"/>
      <c r="H35" s="1289"/>
      <c r="I35" s="1289"/>
      <c r="J35" s="1289"/>
      <c r="K35" s="1289"/>
      <c r="L35" s="1290"/>
      <c r="M35" s="1289"/>
      <c r="N35" s="1289"/>
      <c r="O35" s="1289"/>
      <c r="S35" s="5460" t="s">
        <v>517</v>
      </c>
      <c r="T35" s="5460"/>
      <c r="U35" s="1293"/>
      <c r="V35" s="5462" t="str">
        <f>IF(TITLE_NUMBER_PR_CHANGE="",IF(TITLE_NUMBER_PR="","",TITLE_NUMBER_PR),TITLE_NUMBER_PR_CHANGE)</f>
        <v>27-6414</v>
      </c>
      <c r="W35" s="5462"/>
      <c r="X35" s="5462"/>
      <c r="Y35" s="5462"/>
      <c r="Z35" s="5462"/>
      <c r="AA35" s="5462"/>
      <c r="AB35" s="5462"/>
      <c r="AC35" s="264"/>
      <c r="AD35" s="5462" t="str">
        <f>IF(TITLE_NUMBER_PR_CHANGE="",IF(TITLE_NUMBER_PR="","",TITLE_NUMBER_PR),TITLE_NUMBER_PR_CHANGE)</f>
        <v>27-6414</v>
      </c>
      <c r="AE35" s="5462"/>
      <c r="AF35" s="5462"/>
      <c r="AG35" s="5462"/>
      <c r="AH35" s="5462"/>
      <c r="AI35" s="5462"/>
      <c r="AJ35" s="5462"/>
      <c r="AK35" s="264"/>
      <c r="AL35" s="264"/>
      <c r="AM35" s="218"/>
      <c r="AN35" s="306"/>
      <c r="AO35" s="306"/>
      <c r="AP35" s="306"/>
      <c r="AQ35" s="306"/>
      <c r="AR35" s="306"/>
      <c r="AS35" s="356">
        <v>0</v>
      </c>
    </row>
    <row r="36" spans="1:45" s="4284" customFormat="1" ht="0" hidden="1" customHeight="1">
      <c r="A36" s="1289"/>
      <c r="B36" s="1289"/>
      <c r="C36" s="1289"/>
      <c r="D36" s="1289"/>
      <c r="E36" s="1289"/>
      <c r="F36" s="1289"/>
      <c r="G36" s="1289"/>
      <c r="H36" s="1289"/>
      <c r="I36" s="1289"/>
      <c r="J36" s="1289"/>
      <c r="K36" s="1289"/>
      <c r="L36" s="1290"/>
      <c r="M36" s="1289"/>
      <c r="N36" s="1289"/>
      <c r="O36" s="1289"/>
      <c r="S36" s="261"/>
      <c r="T36" s="261"/>
      <c r="U36" s="1261"/>
      <c r="V36" s="264"/>
      <c r="W36" s="264"/>
      <c r="X36" s="264"/>
      <c r="Y36" s="264"/>
      <c r="Z36" s="264"/>
      <c r="AA36" s="264"/>
      <c r="AB36" s="264"/>
      <c r="AC36" s="216" t="s">
        <v>518</v>
      </c>
      <c r="AD36" s="264"/>
      <c r="AE36" s="264"/>
      <c r="AF36" s="264"/>
      <c r="AG36" s="264"/>
      <c r="AH36" s="264"/>
      <c r="AI36" s="264"/>
      <c r="AJ36" s="264"/>
      <c r="AK36" s="216" t="s">
        <v>518</v>
      </c>
      <c r="AN36" s="306"/>
      <c r="AO36" s="306"/>
      <c r="AP36" s="306"/>
      <c r="AQ36" s="306"/>
      <c r="AR36" s="306"/>
      <c r="AS36" s="356">
        <v>0</v>
      </c>
    </row>
    <row r="37" spans="1:45" ht="14.65" customHeight="1">
      <c r="Q37" s="314"/>
      <c r="R37" s="314"/>
      <c r="S37" s="1196"/>
      <c r="T37" s="301"/>
      <c r="U37" s="1165"/>
      <c r="V37" s="5481"/>
      <c r="W37" s="5481"/>
      <c r="X37" s="5481"/>
      <c r="Y37" s="5481"/>
      <c r="Z37" s="5481"/>
      <c r="AA37" s="5481"/>
      <c r="AB37" s="5481"/>
      <c r="AC37" s="5481"/>
      <c r="AD37" s="5481"/>
      <c r="AE37" s="5481"/>
      <c r="AF37" s="5481"/>
      <c r="AG37" s="5481"/>
      <c r="AH37" s="5481"/>
      <c r="AI37" s="5481"/>
      <c r="AJ37" s="5481"/>
      <c r="AK37" s="5481"/>
      <c r="AS37" s="1076">
        <v>14</v>
      </c>
    </row>
    <row r="38" spans="1:45" ht="14.65" customHeight="1">
      <c r="Q38" s="314"/>
      <c r="R38" s="314"/>
      <c r="S38" s="5328" t="s">
        <v>393</v>
      </c>
      <c r="T38" s="5328"/>
      <c r="U38" s="5328"/>
      <c r="V38" s="5328"/>
      <c r="W38" s="5328"/>
      <c r="X38" s="5328"/>
      <c r="Y38" s="5328"/>
      <c r="Z38" s="5328"/>
      <c r="AA38" s="5328"/>
      <c r="AB38" s="5328"/>
      <c r="AC38" s="5328"/>
      <c r="AD38" s="5328"/>
      <c r="AE38" s="5328"/>
      <c r="AF38" s="5328"/>
      <c r="AG38" s="5328"/>
      <c r="AH38" s="5328"/>
      <c r="AI38" s="5328"/>
      <c r="AJ38" s="5328"/>
      <c r="AK38" s="5328"/>
      <c r="AL38" s="5328"/>
      <c r="AM38" s="5328" t="s">
        <v>394</v>
      </c>
      <c r="AS38" s="1076">
        <v>14</v>
      </c>
    </row>
    <row r="39" spans="1:45" ht="14.65" customHeight="1">
      <c r="Q39" s="314"/>
      <c r="R39" s="314"/>
      <c r="S39" s="5482" t="s">
        <v>88</v>
      </c>
      <c r="T39" s="5431" t="s">
        <v>519</v>
      </c>
      <c r="U39" s="239"/>
      <c r="V39" s="5483" t="s">
        <v>520</v>
      </c>
      <c r="W39" s="5484"/>
      <c r="X39" s="5499"/>
      <c r="Y39" s="5499"/>
      <c r="Z39" s="5484"/>
      <c r="AA39" s="5484"/>
      <c r="AB39" s="5485"/>
      <c r="AC39" s="5486" t="s">
        <v>521</v>
      </c>
      <c r="AD39" s="5483" t="s">
        <v>520</v>
      </c>
      <c r="AE39" s="5484"/>
      <c r="AF39" s="5499"/>
      <c r="AG39" s="5499"/>
      <c r="AH39" s="5484"/>
      <c r="AI39" s="5484"/>
      <c r="AJ39" s="5485"/>
      <c r="AK39" s="5486" t="s">
        <v>522</v>
      </c>
      <c r="AL39" s="5489" t="s">
        <v>523</v>
      </c>
      <c r="AM39" s="5328"/>
      <c r="AS39" s="1076">
        <v>14</v>
      </c>
    </row>
    <row r="40" spans="1:45" ht="24" customHeight="1">
      <c r="Q40" s="314"/>
      <c r="R40" s="314"/>
      <c r="S40" s="5482"/>
      <c r="T40" s="5431"/>
      <c r="U40" s="956"/>
      <c r="V40" s="5497" t="s">
        <v>524</v>
      </c>
      <c r="W40" s="5404" t="s">
        <v>525</v>
      </c>
      <c r="X40" s="1297" t="s">
        <v>526</v>
      </c>
      <c r="Y40" s="1297"/>
      <c r="Z40" s="5314" t="s">
        <v>527</v>
      </c>
      <c r="AA40" s="5314"/>
      <c r="AB40" s="5308"/>
      <c r="AC40" s="5487"/>
      <c r="AD40" s="5497" t="s">
        <v>524</v>
      </c>
      <c r="AE40" s="5404" t="s">
        <v>525</v>
      </c>
      <c r="AF40" s="1297" t="s">
        <v>526</v>
      </c>
      <c r="AG40" s="1297"/>
      <c r="AH40" s="5314" t="s">
        <v>527</v>
      </c>
      <c r="AI40" s="5314"/>
      <c r="AJ40" s="5308"/>
      <c r="AK40" s="5487"/>
      <c r="AL40" s="5490"/>
      <c r="AM40" s="5328"/>
      <c r="AS40" s="1076">
        <v>23</v>
      </c>
    </row>
    <row r="41" spans="1:45" s="4286" customFormat="1" ht="24" customHeight="1">
      <c r="A41" s="1291"/>
      <c r="B41" s="1291" t="s">
        <v>167</v>
      </c>
      <c r="C41" s="1291" t="s">
        <v>168</v>
      </c>
      <c r="D41" s="1291" t="s">
        <v>169</v>
      </c>
      <c r="E41" s="1285" t="s">
        <v>528</v>
      </c>
      <c r="F41" s="1285" t="s">
        <v>529</v>
      </c>
      <c r="G41" s="1285" t="s">
        <v>530</v>
      </c>
      <c r="H41" s="1285" t="s">
        <v>531</v>
      </c>
      <c r="I41" s="1285" t="s">
        <v>532</v>
      </c>
      <c r="J41" s="1285" t="s">
        <v>533</v>
      </c>
      <c r="K41" s="1285" t="s">
        <v>534</v>
      </c>
      <c r="L41" s="1285" t="s">
        <v>509</v>
      </c>
      <c r="M41" s="1283"/>
      <c r="N41" s="1283"/>
      <c r="O41" s="1283"/>
      <c r="P41" s="1249"/>
      <c r="Q41" s="314"/>
      <c r="R41" s="314"/>
      <c r="S41" s="5482"/>
      <c r="T41" s="5431"/>
      <c r="U41" s="240"/>
      <c r="V41" s="5498"/>
      <c r="W41" s="5409"/>
      <c r="X41" s="1294" t="s">
        <v>535</v>
      </c>
      <c r="Y41" s="1294" t="s">
        <v>536</v>
      </c>
      <c r="Z41" s="1255" t="s">
        <v>537</v>
      </c>
      <c r="AA41" s="5436" t="s">
        <v>538</v>
      </c>
      <c r="AB41" s="5449"/>
      <c r="AC41" s="5488"/>
      <c r="AD41" s="5498"/>
      <c r="AE41" s="5409"/>
      <c r="AF41" s="1294" t="s">
        <v>535</v>
      </c>
      <c r="AG41" s="1294" t="s">
        <v>536</v>
      </c>
      <c r="AH41" s="1255" t="s">
        <v>537</v>
      </c>
      <c r="AI41" s="5436" t="s">
        <v>538</v>
      </c>
      <c r="AJ41" s="5449"/>
      <c r="AK41" s="5488"/>
      <c r="AL41" s="5491"/>
      <c r="AM41" s="5328"/>
      <c r="AN41" s="449"/>
      <c r="AO41" s="438"/>
      <c r="AP41" s="438"/>
      <c r="AQ41" s="438"/>
      <c r="AR41" s="438"/>
      <c r="AS41" s="520">
        <v>23</v>
      </c>
    </row>
    <row r="42" spans="1:45" s="4299" customFormat="1" ht="11.25" hidden="1" customHeight="1">
      <c r="A42" s="1291"/>
      <c r="B42" s="1291"/>
      <c r="C42" s="1291"/>
      <c r="D42" s="1291"/>
      <c r="E42" s="1291"/>
      <c r="F42" s="1291"/>
      <c r="G42" s="1291"/>
      <c r="H42" s="1291"/>
      <c r="I42" s="1291"/>
      <c r="J42" s="1291"/>
      <c r="K42" s="1291"/>
      <c r="L42" s="1285"/>
      <c r="M42" s="1283"/>
      <c r="N42" s="1283"/>
      <c r="O42" s="1283"/>
      <c r="P42" s="1167"/>
      <c r="Q42" s="1168"/>
      <c r="R42" s="1175">
        <v>1</v>
      </c>
      <c r="S42" s="1198" t="s">
        <v>136</v>
      </c>
      <c r="T42" s="1176" t="s">
        <v>103</v>
      </c>
      <c r="U42" s="1166" t="str">
        <f ca="1">OFFSET(U42,0,-1)</f>
        <v>2</v>
      </c>
      <c r="V42" s="1256">
        <f ca="1">OFFSET(V42,0,-1)+1</f>
        <v>3</v>
      </c>
      <c r="W42" s="1256"/>
      <c r="X42" s="1262">
        <f ca="1">OFFSET(X42,0,-1)+1</f>
        <v>1</v>
      </c>
      <c r="Y42" s="1262">
        <f ca="1">OFFSET(Y42,0,-1)+1</f>
        <v>2</v>
      </c>
      <c r="Z42" s="1256">
        <f ca="1">OFFSET(Z42,0,-1)+1</f>
        <v>3</v>
      </c>
      <c r="AA42" s="5480">
        <f ca="1">OFFSET(AA42,0,-1)+1</f>
        <v>4</v>
      </c>
      <c r="AB42" s="5480"/>
      <c r="AC42" s="1256">
        <f ca="1">OFFSET(AC42,0,-2)+1</f>
        <v>5</v>
      </c>
      <c r="AD42" s="1256">
        <f ca="1">OFFSET(AD42,0,-1)+1</f>
        <v>6</v>
      </c>
      <c r="AE42" s="1256"/>
      <c r="AF42" s="1262">
        <f ca="1">OFFSET(AF42,0,-1)+1</f>
        <v>1</v>
      </c>
      <c r="AG42" s="1262">
        <f ca="1">OFFSET(AG42,0,-1)+1</f>
        <v>2</v>
      </c>
      <c r="AH42" s="1256">
        <f ca="1">OFFSET(AH42,0,-1)+1</f>
        <v>3</v>
      </c>
      <c r="AI42" s="5480">
        <f ca="1">OFFSET(AI42,0,-1)+1</f>
        <v>4</v>
      </c>
      <c r="AJ42" s="5480"/>
      <c r="AK42" s="1256">
        <f ca="1">OFFSET(AK42,0,-2)+1</f>
        <v>5</v>
      </c>
      <c r="AL42" s="1166">
        <f ca="1">OFFSET(AL42,0,-1)</f>
        <v>5</v>
      </c>
      <c r="AM42" s="1256">
        <f ca="1">OFFSET(AM42,0,-1)+1</f>
        <v>6</v>
      </c>
      <c r="AN42" s="449"/>
      <c r="AO42" s="449"/>
      <c r="AP42" s="449"/>
      <c r="AQ42" s="449"/>
      <c r="AR42" s="449"/>
      <c r="AS42" s="434">
        <v>0</v>
      </c>
    </row>
    <row r="43" spans="1:45" ht="21.95" customHeight="1">
      <c r="A43" s="1284" t="s">
        <v>223</v>
      </c>
      <c r="B43" s="1284"/>
      <c r="C43" s="1284"/>
      <c r="D43" s="1284"/>
      <c r="E43" s="5469">
        <v>1</v>
      </c>
      <c r="F43" s="1284"/>
      <c r="G43" s="1284"/>
      <c r="H43" s="1284"/>
      <c r="I43" s="1284"/>
      <c r="J43" s="1284"/>
      <c r="K43" s="1284"/>
      <c r="L43" s="1285"/>
      <c r="M43" s="1286"/>
      <c r="N43" s="1286"/>
      <c r="O43" s="1286"/>
      <c r="P43" s="299"/>
      <c r="Q43" s="298"/>
      <c r="R43" s="293"/>
      <c r="S43" s="1257">
        <f>INDEX(PT_DIFFERENTIATION_NUM_NTAR,MATCH(A43,PT_DIFFERENTIATION_NTAR_ID,0))</f>
        <v>0</v>
      </c>
      <c r="T43" s="236" t="s">
        <v>155</v>
      </c>
      <c r="U43" s="238"/>
      <c r="V43" s="5463"/>
      <c r="W43" s="5464"/>
      <c r="X43" s="5464"/>
      <c r="Y43" s="5464"/>
      <c r="Z43" s="5464"/>
      <c r="AA43" s="5464"/>
      <c r="AB43" s="5464"/>
      <c r="AC43" s="5465"/>
      <c r="AD43" s="5463" t="str">
        <f>INDEX(PT_DIFFERENTIATION_NTAR,MATCH(A43,PT_DIFFERENTIATION_NTAR_ID,0))</f>
        <v/>
      </c>
      <c r="AE43" s="5464"/>
      <c r="AF43" s="5464"/>
      <c r="AG43" s="5464"/>
      <c r="AH43" s="5464"/>
      <c r="AI43" s="5464"/>
      <c r="AJ43" s="5464"/>
      <c r="AK43" s="5464"/>
      <c r="AL43" s="5465"/>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76">
        <v>21</v>
      </c>
    </row>
    <row r="44" spans="1:45" ht="21.95" customHeight="1">
      <c r="A44" s="1284" t="s">
        <v>223</v>
      </c>
      <c r="B44" s="1284" t="s">
        <v>224</v>
      </c>
      <c r="C44" s="1284"/>
      <c r="D44" s="1284"/>
      <c r="E44" s="5470"/>
      <c r="F44" s="5469">
        <v>1</v>
      </c>
      <c r="G44" s="1284"/>
      <c r="H44" s="1284"/>
      <c r="I44" s="1284"/>
      <c r="J44" s="1284"/>
      <c r="K44" s="1284"/>
      <c r="L44" s="1285"/>
      <c r="M44" s="1286"/>
      <c r="N44" s="1286"/>
      <c r="O44" s="1286"/>
      <c r="P44" s="1253"/>
      <c r="Q44" s="290"/>
      <c r="R44" s="291"/>
      <c r="S44" s="1257" t="str">
        <f>INDEX(PT_DIFFERENTIATION_NUM_TER,MATCH(B44,PT_DIFFERENTIATION_TER_ID,0))</f>
        <v>.</v>
      </c>
      <c r="T44" s="246" t="s">
        <v>490</v>
      </c>
      <c r="U44" s="238"/>
      <c r="V44" s="5463"/>
      <c r="W44" s="5464"/>
      <c r="X44" s="5464"/>
      <c r="Y44" s="5464"/>
      <c r="Z44" s="5464"/>
      <c r="AA44" s="5464"/>
      <c r="AB44" s="5464"/>
      <c r="AC44" s="5465"/>
      <c r="AD44" s="5463" t="str">
        <f>INDEX(PT_DIFFERENTIATION_TER,MATCH(B44,PT_DIFFERENTIATION_TER_ID,0))</f>
        <v/>
      </c>
      <c r="AE44" s="5464"/>
      <c r="AF44" s="5464"/>
      <c r="AG44" s="5464"/>
      <c r="AH44" s="5464"/>
      <c r="AI44" s="5464"/>
      <c r="AJ44" s="5464"/>
      <c r="AK44" s="5464"/>
      <c r="AL44" s="5465"/>
      <c r="AM44" s="1179" t="s">
        <v>491</v>
      </c>
      <c r="AO44" s="438"/>
      <c r="AP44" s="438" t="str">
        <f t="shared" si="1"/>
        <v>Территория действия тарифа</v>
      </c>
      <c r="AQ44" s="438"/>
      <c r="AR44" s="438"/>
      <c r="AS44" s="1076">
        <v>21</v>
      </c>
    </row>
    <row r="45" spans="1:45" ht="24" customHeight="1">
      <c r="A45" s="1284" t="s">
        <v>223</v>
      </c>
      <c r="B45" s="1284" t="s">
        <v>224</v>
      </c>
      <c r="C45" s="1284" t="s">
        <v>225</v>
      </c>
      <c r="D45" s="1284"/>
      <c r="E45" s="5470"/>
      <c r="F45" s="5470"/>
      <c r="G45" s="5469">
        <v>1</v>
      </c>
      <c r="H45" s="1284"/>
      <c r="I45" s="1284"/>
      <c r="J45" s="1284"/>
      <c r="K45" s="1284"/>
      <c r="L45" s="1285"/>
      <c r="M45" s="1286"/>
      <c r="N45" s="1286"/>
      <c r="O45" s="1286"/>
      <c r="P45" s="292"/>
      <c r="Q45" s="290"/>
      <c r="R45" s="291"/>
      <c r="S45" s="1257" t="str">
        <f>INDEX(PT_DIFFERENTIATION_NUM_CS,MATCH(C45,PT_DIFFERENTIATION_CS_ID,0))</f>
        <v>..</v>
      </c>
      <c r="T45" s="247" t="s">
        <v>492</v>
      </c>
      <c r="U45" s="238"/>
      <c r="V45" s="5463"/>
      <c r="W45" s="5464"/>
      <c r="X45" s="5464"/>
      <c r="Y45" s="5464"/>
      <c r="Z45" s="5464"/>
      <c r="AA45" s="5464"/>
      <c r="AB45" s="5464"/>
      <c r="AC45" s="5465"/>
      <c r="AD45" s="5463" t="str">
        <f>INDEX(PT_DIFFERENTIATION_CS,MATCH(C45,PT_DIFFERENTIATION_CS_ID,0))</f>
        <v/>
      </c>
      <c r="AE45" s="5464"/>
      <c r="AF45" s="5464"/>
      <c r="AG45" s="5464"/>
      <c r="AH45" s="5464"/>
      <c r="AI45" s="5464"/>
      <c r="AJ45" s="5464"/>
      <c r="AK45" s="5464"/>
      <c r="AL45" s="5465"/>
      <c r="AM45" s="1179" t="s">
        <v>493</v>
      </c>
      <c r="AO45" s="438"/>
      <c r="AP45" s="438" t="str">
        <f t="shared" si="1"/>
        <v xml:space="preserve">Наименование системы теплоснабжения </v>
      </c>
      <c r="AQ45" s="438"/>
      <c r="AR45" s="438"/>
      <c r="AS45" s="1076">
        <v>23</v>
      </c>
    </row>
    <row r="46" spans="1:45" ht="21.95" customHeight="1">
      <c r="A46" s="1284" t="s">
        <v>223</v>
      </c>
      <c r="B46" s="1284" t="s">
        <v>224</v>
      </c>
      <c r="C46" s="1284" t="s">
        <v>225</v>
      </c>
      <c r="D46" s="1284" t="s">
        <v>226</v>
      </c>
      <c r="E46" s="5470"/>
      <c r="F46" s="5470"/>
      <c r="G46" s="5470"/>
      <c r="H46" s="5469">
        <v>1</v>
      </c>
      <c r="I46" s="1284"/>
      <c r="J46" s="1284"/>
      <c r="K46" s="1284"/>
      <c r="L46" s="1285"/>
      <c r="M46" s="1286"/>
      <c r="N46" s="1286"/>
      <c r="O46" s="1286"/>
      <c r="P46" s="292"/>
      <c r="Q46" s="290"/>
      <c r="R46" s="291"/>
      <c r="S46" s="1257" t="str">
        <f>INDEX(PT_DIFFERENTIATION_NUM_IST_TE,MATCH(D46,PT_DIFFERENTIATION_IST_TE_ID,0))</f>
        <v>...</v>
      </c>
      <c r="T46" s="248" t="s">
        <v>494</v>
      </c>
      <c r="U46" s="238"/>
      <c r="V46" s="5463"/>
      <c r="W46" s="5464"/>
      <c r="X46" s="5464"/>
      <c r="Y46" s="5464"/>
      <c r="Z46" s="5464"/>
      <c r="AA46" s="5464"/>
      <c r="AB46" s="5464"/>
      <c r="AC46" s="5465"/>
      <c r="AD46" s="5463" t="str">
        <f>INDEX(PT_DIFFERENTIATION_IST_TE,MATCH(D46,PT_DIFFERENTIATION_IST_TE_ID,0))</f>
        <v/>
      </c>
      <c r="AE46" s="5464"/>
      <c r="AF46" s="5464"/>
      <c r="AG46" s="5464"/>
      <c r="AH46" s="5464"/>
      <c r="AI46" s="5464"/>
      <c r="AJ46" s="5464"/>
      <c r="AK46" s="5464"/>
      <c r="AL46" s="5465"/>
      <c r="AM46" s="1179" t="s">
        <v>495</v>
      </c>
      <c r="AO46" s="438"/>
      <c r="AP46" s="438" t="str">
        <f t="shared" si="1"/>
        <v xml:space="preserve">Источник тепловой энергии  </v>
      </c>
      <c r="AQ46" s="438"/>
      <c r="AR46" s="438"/>
      <c r="AS46" s="1076">
        <v>21</v>
      </c>
    </row>
    <row r="47" spans="1:45" ht="49.5" customHeight="1">
      <c r="A47" s="1284" t="s">
        <v>223</v>
      </c>
      <c r="B47" s="1284" t="s">
        <v>224</v>
      </c>
      <c r="C47" s="1284" t="s">
        <v>225</v>
      </c>
      <c r="D47" s="1284" t="s">
        <v>226</v>
      </c>
      <c r="E47" s="5470"/>
      <c r="F47" s="5470"/>
      <c r="G47" s="5470"/>
      <c r="H47" s="5470"/>
      <c r="I47" s="5471" t="str">
        <f>S46&amp;".1"</f>
        <v>....1</v>
      </c>
      <c r="J47" s="1284"/>
      <c r="K47" s="1284"/>
      <c r="L47" s="1285" t="s">
        <v>496</v>
      </c>
      <c r="P47" s="5473">
        <v>1</v>
      </c>
      <c r="Q47" s="1252"/>
      <c r="R47" s="294"/>
      <c r="S47" s="1257" t="str">
        <f>$I47</f>
        <v>....1</v>
      </c>
      <c r="T47" s="223" t="s">
        <v>497</v>
      </c>
      <c r="U47" s="238"/>
      <c r="V47" s="5457"/>
      <c r="W47" s="5458"/>
      <c r="X47" s="5458"/>
      <c r="Y47" s="5458"/>
      <c r="Z47" s="5458"/>
      <c r="AA47" s="5458"/>
      <c r="AB47" s="5458"/>
      <c r="AC47" s="5459"/>
      <c r="AD47" s="5457"/>
      <c r="AE47" s="5458"/>
      <c r="AF47" s="5458"/>
      <c r="AG47" s="5458"/>
      <c r="AH47" s="5458"/>
      <c r="AI47" s="5458"/>
      <c r="AJ47" s="5458"/>
      <c r="AK47" s="5458"/>
      <c r="AL47" s="5459"/>
      <c r="AM47" s="1179" t="s">
        <v>498</v>
      </c>
      <c r="AO47" s="438"/>
      <c r="AP47" s="438" t="str">
        <f t="shared" si="1"/>
        <v>Схема подключения теплопотребляющей установки к коллектору источника тепловой энергии</v>
      </c>
      <c r="AQ47" s="438"/>
      <c r="AR47" s="438"/>
      <c r="AS47" s="1076">
        <v>47</v>
      </c>
    </row>
    <row r="48" spans="1:45" ht="21.95" customHeight="1">
      <c r="A48" s="1284" t="s">
        <v>223</v>
      </c>
      <c r="B48" s="1284" t="s">
        <v>224</v>
      </c>
      <c r="C48" s="1284" t="s">
        <v>225</v>
      </c>
      <c r="D48" s="1284" t="s">
        <v>226</v>
      </c>
      <c r="E48" s="5470"/>
      <c r="F48" s="5470"/>
      <c r="G48" s="5470"/>
      <c r="H48" s="5470"/>
      <c r="I48" s="5472"/>
      <c r="J48" s="5471" t="str">
        <f>I47&amp;".1"</f>
        <v>....1.1</v>
      </c>
      <c r="K48" s="1284"/>
      <c r="L48" s="1285" t="s">
        <v>499</v>
      </c>
      <c r="P48" s="5473"/>
      <c r="Q48" s="5473">
        <v>1</v>
      </c>
      <c r="R48" s="295"/>
      <c r="S48" s="1257" t="str">
        <f>$J48</f>
        <v>....1.1</v>
      </c>
      <c r="T48" s="224" t="s">
        <v>500</v>
      </c>
      <c r="U48" s="238"/>
      <c r="V48" s="5457"/>
      <c r="W48" s="5458"/>
      <c r="X48" s="5458"/>
      <c r="Y48" s="5458"/>
      <c r="Z48" s="5458"/>
      <c r="AA48" s="5458"/>
      <c r="AB48" s="5458"/>
      <c r="AC48" s="5459"/>
      <c r="AD48" s="5457"/>
      <c r="AE48" s="5458"/>
      <c r="AF48" s="5458"/>
      <c r="AG48" s="5458"/>
      <c r="AH48" s="5458"/>
      <c r="AI48" s="5458"/>
      <c r="AJ48" s="5458"/>
      <c r="AK48" s="5458"/>
      <c r="AL48" s="5459"/>
      <c r="AM48" s="1179" t="s">
        <v>501</v>
      </c>
      <c r="AO48" s="438"/>
      <c r="AP48" s="438" t="str">
        <f t="shared" si="1"/>
        <v>Группа потребителей</v>
      </c>
      <c r="AQ48" s="438"/>
      <c r="AR48" s="438"/>
      <c r="AS48" s="1076">
        <v>21</v>
      </c>
    </row>
    <row r="49" spans="1:45" ht="21.95" customHeight="1">
      <c r="A49" s="1284" t="s">
        <v>223</v>
      </c>
      <c r="B49" s="1284" t="s">
        <v>224</v>
      </c>
      <c r="C49" s="1284" t="s">
        <v>225</v>
      </c>
      <c r="D49" s="1284" t="s">
        <v>226</v>
      </c>
      <c r="E49" s="5470"/>
      <c r="F49" s="5470"/>
      <c r="G49" s="5470"/>
      <c r="H49" s="5470"/>
      <c r="I49" s="5472"/>
      <c r="J49" s="5472"/>
      <c r="K49" s="5471" t="str">
        <f>J48&amp;".1"</f>
        <v>....1.1.1</v>
      </c>
      <c r="L49" s="1285" t="s">
        <v>502</v>
      </c>
      <c r="P49" s="5473"/>
      <c r="Q49" s="5473"/>
      <c r="R49" s="295">
        <v>1</v>
      </c>
      <c r="S49" s="1257" t="str">
        <f>$K49</f>
        <v>....1.1.1</v>
      </c>
      <c r="T49" s="1268"/>
      <c r="U49" s="238"/>
      <c r="V49" s="263"/>
      <c r="W49" s="689"/>
      <c r="X49" s="263"/>
      <c r="Y49" s="322"/>
      <c r="Z49" s="5474"/>
      <c r="AA49" s="5338" t="s">
        <v>66</v>
      </c>
      <c r="AB49" s="5474"/>
      <c r="AC49" s="5338" t="s">
        <v>66</v>
      </c>
      <c r="AD49" s="263"/>
      <c r="AE49" s="689"/>
      <c r="AF49" s="263"/>
      <c r="AG49" s="322"/>
      <c r="AH49" s="5474"/>
      <c r="AI49" s="5338" t="s">
        <v>66</v>
      </c>
      <c r="AJ49" s="5476"/>
      <c r="AK49" s="5338" t="s">
        <v>66</v>
      </c>
      <c r="AL49" s="1269"/>
      <c r="AM49" s="5492" t="s">
        <v>503</v>
      </c>
      <c r="AN49" s="449" t="e">
        <f ca="1">STRCHECKDATE(V50:AL50)</f>
        <v>#NAME?</v>
      </c>
      <c r="AO49" s="438"/>
      <c r="AP49" s="438" t="str">
        <f t="shared" si="1"/>
        <v/>
      </c>
      <c r="AQ49" s="438"/>
      <c r="AR49" s="438"/>
      <c r="AS49" s="1076">
        <v>21</v>
      </c>
    </row>
    <row r="50" spans="1:45" ht="1.1499999999999999" customHeight="1">
      <c r="A50" s="1284" t="s">
        <v>223</v>
      </c>
      <c r="B50" s="1284" t="s">
        <v>224</v>
      </c>
      <c r="C50" s="1284" t="s">
        <v>225</v>
      </c>
      <c r="D50" s="1284" t="s">
        <v>226</v>
      </c>
      <c r="E50" s="5470"/>
      <c r="F50" s="5470"/>
      <c r="G50" s="5470"/>
      <c r="H50" s="5470"/>
      <c r="I50" s="5472"/>
      <c r="J50" s="5472"/>
      <c r="K50" s="5471"/>
      <c r="L50" s="1285"/>
      <c r="P50" s="5473"/>
      <c r="Q50" s="5473"/>
      <c r="R50" s="295"/>
      <c r="S50" s="1263"/>
      <c r="T50" s="238"/>
      <c r="U50" s="238"/>
      <c r="V50" s="263"/>
      <c r="W50" s="263"/>
      <c r="X50" s="263"/>
      <c r="Y50" s="266" t="str">
        <f>Z49&amp;"-"&amp;AB49</f>
        <v>-</v>
      </c>
      <c r="Z50" s="5475"/>
      <c r="AA50" s="5338"/>
      <c r="AB50" s="5475"/>
      <c r="AC50" s="5338"/>
      <c r="AD50" s="263"/>
      <c r="AE50" s="263"/>
      <c r="AF50" s="263"/>
      <c r="AG50" s="266" t="str">
        <f>AH49&amp;"-"&amp;AJ49</f>
        <v>-</v>
      </c>
      <c r="AH50" s="5475"/>
      <c r="AI50" s="5338"/>
      <c r="AJ50" s="5477"/>
      <c r="AK50" s="5338"/>
      <c r="AL50" s="1270"/>
      <c r="AM50" s="5493"/>
      <c r="AO50" s="438"/>
      <c r="AP50" s="438" t="str">
        <f t="shared" si="1"/>
        <v/>
      </c>
      <c r="AQ50" s="438"/>
      <c r="AR50" s="438"/>
      <c r="AS50" s="1076">
        <v>1</v>
      </c>
    </row>
    <row r="51" spans="1:45" ht="11.45" customHeight="1">
      <c r="A51" s="1284" t="s">
        <v>223</v>
      </c>
      <c r="B51" s="1284" t="s">
        <v>224</v>
      </c>
      <c r="C51" s="1284" t="s">
        <v>225</v>
      </c>
      <c r="D51" s="1284" t="s">
        <v>226</v>
      </c>
      <c r="E51" s="5470"/>
      <c r="F51" s="5470"/>
      <c r="G51" s="5470"/>
      <c r="H51" s="5470"/>
      <c r="I51" s="5472"/>
      <c r="J51" s="5471"/>
      <c r="K51" s="1284"/>
      <c r="L51" s="1285"/>
      <c r="P51" s="5473"/>
      <c r="Q51" s="5473"/>
      <c r="R51" s="294"/>
      <c r="S51" s="1199"/>
      <c r="T51" s="226" t="s">
        <v>504</v>
      </c>
      <c r="U51" s="305"/>
      <c r="V51" s="305"/>
      <c r="W51" s="305"/>
      <c r="X51" s="305"/>
      <c r="Y51" s="305"/>
      <c r="Z51" s="305"/>
      <c r="AA51" s="305"/>
      <c r="AB51" s="305"/>
      <c r="AC51" s="305"/>
      <c r="AD51" s="305"/>
      <c r="AE51" s="305"/>
      <c r="AF51" s="305"/>
      <c r="AG51" s="305"/>
      <c r="AH51" s="305"/>
      <c r="AI51" s="305"/>
      <c r="AJ51" s="305"/>
      <c r="AK51" s="305"/>
      <c r="AL51" s="262"/>
      <c r="AM51" s="5494"/>
      <c r="AO51" s="438"/>
      <c r="AP51" s="438" t="str">
        <f t="shared" si="1"/>
        <v>Добавить вид теплоносителя (параметры теплоносителя)</v>
      </c>
      <c r="AQ51" s="438"/>
      <c r="AR51" s="438"/>
      <c r="AS51" s="1076">
        <v>11</v>
      </c>
    </row>
    <row r="52" spans="1:45" ht="11.45" customHeight="1">
      <c r="A52" s="1284" t="s">
        <v>223</v>
      </c>
      <c r="B52" s="1284" t="s">
        <v>224</v>
      </c>
      <c r="C52" s="1284" t="s">
        <v>225</v>
      </c>
      <c r="D52" s="1284" t="s">
        <v>226</v>
      </c>
      <c r="E52" s="5470"/>
      <c r="F52" s="5470"/>
      <c r="G52" s="5470"/>
      <c r="H52" s="5470"/>
      <c r="I52" s="5471"/>
      <c r="J52" s="1284"/>
      <c r="K52" s="1284"/>
      <c r="L52" s="1285"/>
      <c r="P52" s="5473"/>
      <c r="Q52" s="1252"/>
      <c r="R52" s="294"/>
      <c r="S52" s="1199"/>
      <c r="T52" s="225" t="s">
        <v>505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76">
        <v>11</v>
      </c>
    </row>
    <row r="53" spans="1:45" ht="14.65" customHeight="1">
      <c r="A53" s="1284" t="s">
        <v>223</v>
      </c>
      <c r="B53" s="1284" t="s">
        <v>224</v>
      </c>
      <c r="C53" s="1284" t="s">
        <v>225</v>
      </c>
      <c r="D53" s="1284" t="s">
        <v>226</v>
      </c>
      <c r="E53" s="5470"/>
      <c r="F53" s="5470"/>
      <c r="G53" s="5470"/>
      <c r="H53" s="5469"/>
      <c r="I53" s="1284"/>
      <c r="J53" s="1284"/>
      <c r="K53" s="1284"/>
      <c r="L53" s="1285"/>
      <c r="M53" s="1286"/>
      <c r="N53" s="1286"/>
      <c r="O53" s="475"/>
      <c r="P53" s="298"/>
      <c r="Q53" s="313"/>
      <c r="R53" s="293"/>
      <c r="S53" s="1199"/>
      <c r="T53" s="303" t="s">
        <v>506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76">
        <v>14</v>
      </c>
    </row>
    <row r="54" spans="1:45" s="4275" customFormat="1" ht="1.1499999999999999" customHeight="1">
      <c r="A54" s="1264" t="s">
        <v>223</v>
      </c>
      <c r="B54" s="1264" t="s">
        <v>224</v>
      </c>
      <c r="C54" s="1264" t="s">
        <v>225</v>
      </c>
      <c r="D54" s="1235"/>
      <c r="E54" s="5470"/>
      <c r="F54" s="5470"/>
      <c r="G54" s="5469"/>
      <c r="H54" s="1235"/>
      <c r="I54" s="1235"/>
      <c r="J54" s="1235"/>
      <c r="K54" s="1235"/>
      <c r="L54" s="1260"/>
      <c r="M54" s="1236"/>
      <c r="N54" s="1236"/>
      <c r="P54" s="1237"/>
      <c r="Q54" s="1238"/>
      <c r="R54" s="1237"/>
      <c r="S54" s="1243"/>
      <c r="T54" s="1246" t="s">
        <v>507</v>
      </c>
      <c r="U54" s="1245"/>
      <c r="V54" s="1245"/>
      <c r="W54" s="1245"/>
      <c r="X54" s="1245"/>
      <c r="Y54" s="1245"/>
      <c r="Z54" s="1245"/>
      <c r="AA54" s="1245"/>
      <c r="AB54" s="1245"/>
      <c r="AC54" s="1245"/>
      <c r="AD54" s="1245"/>
      <c r="AE54" s="1245"/>
      <c r="AF54" s="1245"/>
      <c r="AG54" s="1245"/>
      <c r="AH54" s="1245"/>
      <c r="AI54" s="1245"/>
      <c r="AJ54" s="1245"/>
      <c r="AK54" s="1245"/>
      <c r="AL54" s="1245"/>
      <c r="AM54" s="1245"/>
      <c r="AO54" s="721"/>
      <c r="AP54" s="721" t="str">
        <f t="shared" si="1"/>
        <v>Добавить источник для дифференциации</v>
      </c>
      <c r="AQ54" s="721"/>
      <c r="AR54" s="721"/>
      <c r="AS54" s="456">
        <v>1</v>
      </c>
    </row>
    <row r="55" spans="1:45" s="4275" customFormat="1" ht="1.1499999999999999" customHeight="1">
      <c r="A55" s="1264" t="s">
        <v>223</v>
      </c>
      <c r="B55" s="1264" t="s">
        <v>224</v>
      </c>
      <c r="C55" s="1235"/>
      <c r="D55" s="1235"/>
      <c r="E55" s="5470"/>
      <c r="F55" s="5469"/>
      <c r="G55" s="1235"/>
      <c r="H55" s="1235"/>
      <c r="I55" s="1235"/>
      <c r="J55" s="1235"/>
      <c r="K55" s="1235"/>
      <c r="L55" s="1260"/>
      <c r="M55" s="1242"/>
      <c r="N55" s="1242"/>
      <c r="P55" s="1237"/>
      <c r="Q55" s="1238"/>
      <c r="R55" s="1237"/>
      <c r="S55" s="1243"/>
      <c r="T55" s="1246" t="s">
        <v>312</v>
      </c>
      <c r="U55" s="1245"/>
      <c r="V55" s="1245"/>
      <c r="W55" s="1245"/>
      <c r="X55" s="1245"/>
      <c r="Y55" s="1245"/>
      <c r="Z55" s="1245"/>
      <c r="AA55" s="1245"/>
      <c r="AB55" s="1245"/>
      <c r="AC55" s="1245"/>
      <c r="AD55" s="1245"/>
      <c r="AE55" s="1245"/>
      <c r="AF55" s="1245"/>
      <c r="AG55" s="1245"/>
      <c r="AH55" s="1245"/>
      <c r="AI55" s="1245"/>
      <c r="AJ55" s="1245"/>
      <c r="AK55" s="1245"/>
      <c r="AL55" s="1245"/>
      <c r="AM55" s="1245"/>
      <c r="AO55" s="721"/>
      <c r="AP55" s="721" t="str">
        <f t="shared" si="1"/>
        <v>Добавить централизованную систему для дифференциации</v>
      </c>
      <c r="AQ55" s="721"/>
      <c r="AR55" s="721"/>
      <c r="AS55" s="456">
        <v>1</v>
      </c>
    </row>
    <row r="56" spans="1:45" s="4275" customFormat="1" ht="1.1499999999999999" customHeight="1">
      <c r="A56" s="1264" t="s">
        <v>223</v>
      </c>
      <c r="B56" s="1264"/>
      <c r="C56" s="1264"/>
      <c r="D56" s="1264"/>
      <c r="E56" s="5469"/>
      <c r="F56" s="1264"/>
      <c r="G56" s="1264"/>
      <c r="H56" s="1264"/>
      <c r="I56" s="1264"/>
      <c r="J56" s="1264"/>
      <c r="K56" s="1264"/>
      <c r="L56" s="1267"/>
      <c r="M56" s="1242"/>
      <c r="N56" s="1242"/>
      <c r="O56" s="456"/>
      <c r="P56" s="318"/>
      <c r="Q56" s="1265"/>
      <c r="R56" s="318"/>
      <c r="S56" s="1243"/>
      <c r="T56" s="1246" t="s">
        <v>360</v>
      </c>
      <c r="U56" s="1245"/>
      <c r="V56" s="1245"/>
      <c r="W56" s="1245"/>
      <c r="X56" s="1245"/>
      <c r="Y56" s="1245"/>
      <c r="Z56" s="1245"/>
      <c r="AA56" s="1245"/>
      <c r="AB56" s="1245"/>
      <c r="AC56" s="1245"/>
      <c r="AD56" s="1245"/>
      <c r="AE56" s="1245"/>
      <c r="AF56" s="1245"/>
      <c r="AG56" s="1245"/>
      <c r="AH56" s="1245"/>
      <c r="AI56" s="1245"/>
      <c r="AJ56" s="1245"/>
      <c r="AK56" s="1245"/>
      <c r="AL56" s="1245"/>
      <c r="AM56" s="1245"/>
      <c r="AO56" s="438"/>
      <c r="AP56" s="438" t="str">
        <f t="shared" si="1"/>
        <v>Добавить территорию для дифференциации</v>
      </c>
      <c r="AQ56" s="438"/>
      <c r="AR56" s="438"/>
      <c r="AS56" s="449">
        <v>1</v>
      </c>
    </row>
    <row r="57" spans="1:45" s="4275" customFormat="1" ht="1.1499999999999999" customHeight="1">
      <c r="A57" s="1235"/>
      <c r="B57" s="1235"/>
      <c r="C57" s="1235"/>
      <c r="D57" s="1235"/>
      <c r="E57" s="1264"/>
      <c r="F57" s="1235"/>
      <c r="G57" s="1235"/>
      <c r="H57" s="1235"/>
      <c r="I57" s="1235"/>
      <c r="J57" s="1235"/>
      <c r="K57" s="1235"/>
      <c r="L57" s="1260"/>
      <c r="M57" s="1242"/>
      <c r="N57" s="1242"/>
      <c r="P57" s="1237"/>
      <c r="Q57" s="1238"/>
      <c r="R57" s="1237"/>
      <c r="S57" s="1243"/>
      <c r="T57" s="1246" t="s">
        <v>361</v>
      </c>
      <c r="U57" s="1245"/>
      <c r="V57" s="1245"/>
      <c r="W57" s="1245"/>
      <c r="X57" s="1245"/>
      <c r="Y57" s="1245"/>
      <c r="Z57" s="1245"/>
      <c r="AA57" s="1245"/>
      <c r="AB57" s="1245"/>
      <c r="AC57" s="1245"/>
      <c r="AD57" s="1245"/>
      <c r="AE57" s="1245"/>
      <c r="AF57" s="1245"/>
      <c r="AG57" s="1245"/>
      <c r="AH57" s="1245"/>
      <c r="AI57" s="1245"/>
      <c r="AJ57" s="1245"/>
      <c r="AK57" s="1245"/>
      <c r="AL57" s="1245"/>
      <c r="AM57" s="1245"/>
      <c r="AO57" s="721"/>
      <c r="AP57" s="721" t="str">
        <f t="shared" si="1"/>
        <v>Добавить наименование тарифа</v>
      </c>
      <c r="AQ57" s="721"/>
      <c r="AR57" s="721"/>
      <c r="AS57" s="456">
        <v>1</v>
      </c>
    </row>
    <row r="58" spans="1:45" ht="11.45" customHeight="1">
      <c r="M58" s="1081"/>
      <c r="N58" s="1081"/>
      <c r="O58" s="475"/>
      <c r="P58" s="1076"/>
      <c r="Q58" s="1076"/>
      <c r="R58" s="1076"/>
      <c r="S58" s="1076"/>
      <c r="AN58" s="1076"/>
      <c r="AO58" s="1076"/>
      <c r="AP58" s="1076"/>
      <c r="AQ58" s="1076"/>
      <c r="AR58" s="1076"/>
      <c r="AS58" s="1076">
        <v>11</v>
      </c>
    </row>
    <row r="59" spans="1:45" ht="28.5" customHeight="1">
      <c r="O59" s="475"/>
      <c r="S59" s="1174"/>
      <c r="T59" s="5468"/>
      <c r="U59" s="5468"/>
      <c r="V59" s="5468"/>
      <c r="W59" s="5468"/>
      <c r="X59" s="5468"/>
      <c r="Y59" s="5468"/>
      <c r="Z59" s="5468"/>
      <c r="AA59" s="5468"/>
      <c r="AB59" s="5468"/>
      <c r="AC59" s="5468"/>
      <c r="AD59" s="5468"/>
      <c r="AE59" s="5468"/>
      <c r="AF59" s="5468"/>
      <c r="AG59" s="5468"/>
      <c r="AH59" s="5468"/>
      <c r="AI59" s="5468"/>
      <c r="AJ59" s="5468"/>
      <c r="AK59" s="5468"/>
      <c r="AL59" s="5468"/>
      <c r="AM59" s="5468"/>
      <c r="AS59" s="1076">
        <v>27</v>
      </c>
    </row>
    <row r="60" spans="1:45" ht="78.75" customHeight="1">
      <c r="O60" s="475"/>
      <c r="T60" s="5468"/>
      <c r="U60" s="5468"/>
      <c r="V60" s="5468"/>
      <c r="W60" s="5468"/>
      <c r="X60" s="5468"/>
      <c r="Y60" s="5468"/>
      <c r="Z60" s="5468"/>
      <c r="AA60" s="5468"/>
      <c r="AB60" s="5468"/>
      <c r="AC60" s="5468"/>
      <c r="AD60" s="5468"/>
      <c r="AE60" s="5468"/>
      <c r="AF60" s="5468"/>
      <c r="AG60" s="5468"/>
      <c r="AH60" s="5468"/>
      <c r="AI60" s="5468"/>
      <c r="AJ60" s="5468"/>
      <c r="AK60" s="5468"/>
      <c r="AL60" s="5468"/>
      <c r="AM60" s="5468"/>
      <c r="AS60" s="1076">
        <v>75</v>
      </c>
    </row>
    <row r="61" spans="1:45" ht="14.65" customHeight="1">
      <c r="O61" s="475"/>
      <c r="AS61" s="1076">
        <v>14</v>
      </c>
    </row>
    <row r="62" spans="1:45" ht="18.75" customHeight="1">
      <c r="O62" s="475"/>
      <c r="S62" s="1174"/>
      <c r="T62" s="5468"/>
      <c r="U62" s="5468"/>
      <c r="V62" s="5468"/>
      <c r="W62" s="5468"/>
      <c r="X62" s="5468"/>
      <c r="Y62" s="5468"/>
      <c r="Z62" s="5468"/>
      <c r="AA62" s="5468"/>
      <c r="AB62" s="5468"/>
      <c r="AC62" s="5468"/>
      <c r="AD62" s="5468"/>
      <c r="AE62" s="5468"/>
      <c r="AF62" s="5468"/>
      <c r="AG62" s="5468"/>
      <c r="AH62" s="5468"/>
      <c r="AI62" s="5468"/>
      <c r="AJ62" s="5468"/>
      <c r="AK62" s="5468"/>
      <c r="AL62" s="5468"/>
      <c r="AM62" s="5468"/>
      <c r="AS62" s="1076">
        <v>18</v>
      </c>
    </row>
    <row r="63" spans="1:45" ht="18.75" customHeight="1">
      <c r="O63" s="475"/>
      <c r="T63" s="5468"/>
      <c r="U63" s="5468"/>
      <c r="V63" s="5468"/>
      <c r="W63" s="5468"/>
      <c r="X63" s="5468"/>
      <c r="Y63" s="5468"/>
      <c r="Z63" s="5468"/>
      <c r="AA63" s="5468"/>
      <c r="AB63" s="5468"/>
      <c r="AC63" s="5468"/>
      <c r="AD63" s="5468"/>
      <c r="AE63" s="5468"/>
      <c r="AF63" s="5468"/>
      <c r="AG63" s="5468"/>
      <c r="AH63" s="5468"/>
      <c r="AI63" s="5468"/>
      <c r="AJ63" s="5468"/>
      <c r="AK63" s="5468"/>
      <c r="AL63" s="5468"/>
      <c r="AM63" s="5468"/>
      <c r="AS63" s="1076">
        <v>18</v>
      </c>
    </row>
    <row r="64" spans="1:45" ht="39.75" customHeight="1">
      <c r="O64" s="475"/>
      <c r="S64" s="1174"/>
      <c r="T64" s="5468"/>
      <c r="U64" s="5468"/>
      <c r="V64" s="5468"/>
      <c r="W64" s="5468"/>
      <c r="X64" s="5468"/>
      <c r="Y64" s="5468"/>
      <c r="Z64" s="5468"/>
      <c r="AA64" s="5468"/>
      <c r="AB64" s="5468"/>
      <c r="AC64" s="5468"/>
      <c r="AD64" s="5468"/>
      <c r="AE64" s="5468"/>
      <c r="AF64" s="5468"/>
      <c r="AG64" s="5468"/>
      <c r="AH64" s="5468"/>
      <c r="AI64" s="5468"/>
      <c r="AJ64" s="5468"/>
      <c r="AK64" s="5468"/>
      <c r="AL64" s="5468"/>
      <c r="AM64" s="5468"/>
      <c r="AS64" s="1076">
        <v>38</v>
      </c>
    </row>
    <row r="65" spans="1:45" ht="22.5" hidden="1" customHeight="1">
      <c r="A65" s="1081" t="s">
        <v>82</v>
      </c>
      <c r="B65" s="1081">
        <v>0</v>
      </c>
      <c r="C65" s="1081">
        <v>0</v>
      </c>
      <c r="D65" s="1081">
        <v>0</v>
      </c>
      <c r="E65" s="1081">
        <v>0</v>
      </c>
      <c r="F65" s="1081">
        <v>0</v>
      </c>
      <c r="G65" s="1081">
        <v>0</v>
      </c>
      <c r="H65" s="1081">
        <v>0</v>
      </c>
      <c r="I65" s="1081">
        <v>0</v>
      </c>
      <c r="J65" s="1081">
        <v>0</v>
      </c>
      <c r="K65" s="1081">
        <v>0</v>
      </c>
      <c r="L65" s="1250">
        <v>0</v>
      </c>
      <c r="M65" s="1283">
        <v>0</v>
      </c>
      <c r="N65" s="1283">
        <v>0</v>
      </c>
      <c r="O65" s="1283">
        <v>0</v>
      </c>
      <c r="P65" s="1249">
        <v>3</v>
      </c>
      <c r="Q65" s="282">
        <v>3</v>
      </c>
      <c r="R65" s="282">
        <v>3</v>
      </c>
      <c r="S65" s="519">
        <v>12</v>
      </c>
      <c r="T65" s="1076">
        <v>31</v>
      </c>
      <c r="U65" s="1076">
        <v>0</v>
      </c>
      <c r="V65" s="1076">
        <v>0</v>
      </c>
      <c r="W65" s="1076">
        <v>0</v>
      </c>
      <c r="X65" s="1076">
        <v>0</v>
      </c>
      <c r="Y65" s="1076">
        <v>0</v>
      </c>
      <c r="Z65" s="1076">
        <v>0</v>
      </c>
      <c r="AA65" s="1076">
        <v>0</v>
      </c>
      <c r="AB65" s="1076">
        <v>0</v>
      </c>
      <c r="AC65" s="1076">
        <v>0</v>
      </c>
      <c r="AD65" s="1076">
        <v>0</v>
      </c>
      <c r="AE65" s="1076">
        <v>24</v>
      </c>
      <c r="AF65" s="1076">
        <v>0</v>
      </c>
      <c r="AG65" s="1076">
        <v>0</v>
      </c>
      <c r="AH65" s="1076">
        <v>11</v>
      </c>
      <c r="AI65" s="1076">
        <v>3</v>
      </c>
      <c r="AJ65" s="1076">
        <v>11</v>
      </c>
      <c r="AK65" s="1076">
        <v>0</v>
      </c>
      <c r="AL65" s="1076">
        <v>4</v>
      </c>
      <c r="AM65" s="1076">
        <v>115</v>
      </c>
      <c r="AN65" s="449">
        <v>10</v>
      </c>
      <c r="AO65" s="449">
        <v>10</v>
      </c>
      <c r="AP65" s="449">
        <v>10</v>
      </c>
      <c r="AQ65" s="449">
        <v>10</v>
      </c>
      <c r="AR65" s="449">
        <v>10</v>
      </c>
      <c r="AS65" s="1076">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7109375" style="4302" hidden="1" customWidth="1"/>
    <col min="17" max="18" width="3" style="4303" customWidth="1"/>
    <col min="19" max="19" width="12" style="4304" customWidth="1"/>
    <col min="20" max="20" width="31" style="4267" customWidth="1"/>
    <col min="21" max="21" width="0.140625" style="4267" customWidth="1"/>
    <col min="22" max="22" width="24.7109375" style="4267" hidden="1" customWidth="1"/>
    <col min="23" max="23" width="0.140625" style="4267" hidden="1" customWidth="1"/>
    <col min="24" max="25" width="24.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24.7109375" style="4267" customWidth="1"/>
    <col min="31" max="31" width="0.140625" style="4267" customWidth="1"/>
    <col min="32" max="33" width="24" style="4267" customWidth="1"/>
    <col min="34" max="34" width="11" style="4267" customWidth="1"/>
    <col min="35" max="35" width="3.7109375" style="4267" customWidth="1"/>
    <col min="36" max="36" width="11" style="4267" customWidth="1"/>
    <col min="37" max="37" width="8.5703125" style="4267" hidden="1" customWidth="1"/>
    <col min="38" max="38" width="4" style="4267" customWidth="1"/>
    <col min="39" max="39" width="115" style="4267" customWidth="1"/>
    <col min="40" max="44" width="10" style="4275" customWidth="1"/>
    <col min="45" max="45" width="8.42578125" style="4267" hidden="1" customWidth="1"/>
  </cols>
  <sheetData>
    <row r="1" spans="1:45" ht="22.5" hidden="1" customHeight="1">
      <c r="Y1" s="265"/>
      <c r="Z1" s="265"/>
      <c r="AG1" s="265"/>
      <c r="AH1" s="265"/>
      <c r="AS1" s="1076" t="s">
        <v>14</v>
      </c>
    </row>
    <row r="2" spans="1:45" ht="21" hidden="1" customHeight="1">
      <c r="A2" s="1284"/>
      <c r="B2" s="1284"/>
      <c r="C2" s="1284"/>
      <c r="D2" s="1284"/>
      <c r="E2" s="5469">
        <v>1</v>
      </c>
      <c r="F2" s="1284"/>
      <c r="G2" s="1284"/>
      <c r="H2" s="1284"/>
      <c r="I2" s="1284"/>
      <c r="J2" s="1284"/>
      <c r="K2" s="1284"/>
      <c r="L2" s="1285"/>
      <c r="M2" s="1286"/>
      <c r="N2" s="1286"/>
      <c r="O2" s="1286"/>
      <c r="P2" s="299"/>
      <c r="Q2" s="298"/>
      <c r="R2" s="293"/>
      <c r="S2" s="1257" t="e">
        <f>INDEX(PT_DIFFERENTIATION_NUM_NTAR,MATCH(A2,PT_DIFFERENTIATION_NTAR_ID,0))</f>
        <v>#N/A</v>
      </c>
      <c r="T2" s="236" t="s">
        <v>155</v>
      </c>
      <c r="U2" s="238"/>
      <c r="V2" s="5463"/>
      <c r="W2" s="5464"/>
      <c r="X2" s="5464"/>
      <c r="Y2" s="5464"/>
      <c r="Z2" s="5464"/>
      <c r="AA2" s="5464"/>
      <c r="AB2" s="5464"/>
      <c r="AC2" s="5465"/>
      <c r="AD2" s="5463" t="e">
        <f>INDEX(PT_DIFFERENTIATION_NTAR,MATCH(A2,PT_DIFFERENTIATION_NTAR_ID,0))</f>
        <v>#N/A</v>
      </c>
      <c r="AE2" s="5464"/>
      <c r="AF2" s="5464"/>
      <c r="AG2" s="5464"/>
      <c r="AH2" s="5464"/>
      <c r="AI2" s="5464"/>
      <c r="AJ2" s="5464"/>
      <c r="AK2" s="5464"/>
      <c r="AL2" s="5465"/>
      <c r="AM2" s="1179" t="s">
        <v>489</v>
      </c>
      <c r="AO2" s="438"/>
      <c r="AP2" s="438" t="str">
        <f t="shared" ref="AP2:AP15" si="0">IF(T2="","",T2)</f>
        <v>Наименование тарифа</v>
      </c>
      <c r="AQ2" s="438"/>
      <c r="AR2" s="438"/>
      <c r="AS2" s="1076">
        <v>0</v>
      </c>
    </row>
    <row r="3" spans="1:45" ht="21" hidden="1" customHeight="1">
      <c r="A3" s="1284"/>
      <c r="B3" s="1284"/>
      <c r="C3" s="1284"/>
      <c r="D3" s="1284"/>
      <c r="E3" s="5470"/>
      <c r="F3" s="5469">
        <v>1</v>
      </c>
      <c r="G3" s="1284"/>
      <c r="H3" s="1284"/>
      <c r="I3" s="1284"/>
      <c r="J3" s="1284"/>
      <c r="K3" s="1284"/>
      <c r="L3" s="1285"/>
      <c r="M3" s="1286"/>
      <c r="N3" s="1286"/>
      <c r="O3" s="1286"/>
      <c r="P3" s="1253"/>
      <c r="Q3" s="290"/>
      <c r="R3" s="291"/>
      <c r="S3" s="1257" t="e">
        <f>INDEX(PT_DIFFERENTIATION_NUM_TER,MATCH(B3,PT_DIFFERENTIATION_TER_ID,0))</f>
        <v>#N/A</v>
      </c>
      <c r="T3" s="246" t="s">
        <v>490</v>
      </c>
      <c r="U3" s="238"/>
      <c r="V3" s="5463"/>
      <c r="W3" s="5464"/>
      <c r="X3" s="5464"/>
      <c r="Y3" s="5464"/>
      <c r="Z3" s="5464"/>
      <c r="AA3" s="5464"/>
      <c r="AB3" s="5464"/>
      <c r="AC3" s="5465"/>
      <c r="AD3" s="5463" t="e">
        <f>INDEX(PT_DIFFERENTIATION_TER,MATCH(B3,PT_DIFFERENTIATION_TER_ID,0))</f>
        <v>#N/A</v>
      </c>
      <c r="AE3" s="5464"/>
      <c r="AF3" s="5464"/>
      <c r="AG3" s="5464"/>
      <c r="AH3" s="5464"/>
      <c r="AI3" s="5464"/>
      <c r="AJ3" s="5464"/>
      <c r="AK3" s="5464"/>
      <c r="AL3" s="5465"/>
      <c r="AM3" s="1179" t="s">
        <v>491</v>
      </c>
      <c r="AO3" s="438"/>
      <c r="AP3" s="438" t="str">
        <f t="shared" si="0"/>
        <v>Территория действия тарифа</v>
      </c>
      <c r="AQ3" s="438"/>
      <c r="AR3" s="438"/>
      <c r="AS3" s="1076">
        <v>0</v>
      </c>
    </row>
    <row r="4" spans="1:45" ht="23.25" hidden="1" customHeight="1">
      <c r="A4" s="1284"/>
      <c r="B4" s="1284"/>
      <c r="C4" s="1284"/>
      <c r="D4" s="1284"/>
      <c r="E4" s="5470"/>
      <c r="F4" s="5470"/>
      <c r="G4" s="5469">
        <v>1</v>
      </c>
      <c r="H4" s="1284"/>
      <c r="I4" s="1284"/>
      <c r="J4" s="1284"/>
      <c r="K4" s="1284"/>
      <c r="L4" s="1285"/>
      <c r="M4" s="1286"/>
      <c r="N4" s="1286"/>
      <c r="O4" s="1286"/>
      <c r="P4" s="292"/>
      <c r="Q4" s="290"/>
      <c r="R4" s="291"/>
      <c r="S4" s="1257" t="e">
        <f>INDEX(PT_DIFFERENTIATION_NUM_CS,MATCH(C4,PT_DIFFERENTIATION_CS_ID,0))</f>
        <v>#N/A</v>
      </c>
      <c r="T4" s="247" t="s">
        <v>492</v>
      </c>
      <c r="U4" s="238"/>
      <c r="V4" s="5463"/>
      <c r="W4" s="5464"/>
      <c r="X4" s="5464"/>
      <c r="Y4" s="5464"/>
      <c r="Z4" s="5464"/>
      <c r="AA4" s="5464"/>
      <c r="AB4" s="5464"/>
      <c r="AC4" s="5465"/>
      <c r="AD4" s="5463" t="e">
        <f>INDEX(PT_DIFFERENTIATION_CS,MATCH(C4,PT_DIFFERENTIATION_CS_ID,0))</f>
        <v>#N/A</v>
      </c>
      <c r="AE4" s="5464"/>
      <c r="AF4" s="5464"/>
      <c r="AG4" s="5464"/>
      <c r="AH4" s="5464"/>
      <c r="AI4" s="5464"/>
      <c r="AJ4" s="5464"/>
      <c r="AK4" s="5464"/>
      <c r="AL4" s="5465"/>
      <c r="AM4" s="1179" t="s">
        <v>493</v>
      </c>
      <c r="AO4" s="438"/>
      <c r="AP4" s="438" t="str">
        <f t="shared" si="0"/>
        <v xml:space="preserve">Наименование системы теплоснабжения </v>
      </c>
      <c r="AQ4" s="438"/>
      <c r="AR4" s="438"/>
      <c r="AS4" s="1076">
        <v>0</v>
      </c>
    </row>
    <row r="5" spans="1:45" ht="21" hidden="1" customHeight="1">
      <c r="A5" s="1284"/>
      <c r="B5" s="1284"/>
      <c r="C5" s="1284"/>
      <c r="D5" s="1284"/>
      <c r="E5" s="5470"/>
      <c r="F5" s="5470"/>
      <c r="G5" s="5470"/>
      <c r="H5" s="5469">
        <v>1</v>
      </c>
      <c r="I5" s="1284"/>
      <c r="J5" s="1284"/>
      <c r="K5" s="1284"/>
      <c r="L5" s="1285"/>
      <c r="M5" s="1286"/>
      <c r="N5" s="1286"/>
      <c r="O5" s="1286"/>
      <c r="P5" s="292"/>
      <c r="Q5" s="290"/>
      <c r="R5" s="291"/>
      <c r="S5" s="1257" t="e">
        <f>INDEX(PT_DIFFERENTIATION_NUM_IST_TE,MATCH(D5,PT_DIFFERENTIATION_IST_TE_ID,0))</f>
        <v>#N/A</v>
      </c>
      <c r="T5" s="248" t="s">
        <v>494</v>
      </c>
      <c r="U5" s="238"/>
      <c r="V5" s="5463"/>
      <c r="W5" s="5464"/>
      <c r="X5" s="5464"/>
      <c r="Y5" s="5464"/>
      <c r="Z5" s="5464"/>
      <c r="AA5" s="5464"/>
      <c r="AB5" s="5464"/>
      <c r="AC5" s="5465"/>
      <c r="AD5" s="5463" t="e">
        <f>INDEX(PT_DIFFERENTIATION_IST_TE,MATCH(D5,PT_DIFFERENTIATION_IST_TE_ID,0))</f>
        <v>#N/A</v>
      </c>
      <c r="AE5" s="5464"/>
      <c r="AF5" s="5464"/>
      <c r="AG5" s="5464"/>
      <c r="AH5" s="5464"/>
      <c r="AI5" s="5464"/>
      <c r="AJ5" s="5464"/>
      <c r="AK5" s="5464"/>
      <c r="AL5" s="5465"/>
      <c r="AM5" s="1179" t="s">
        <v>495</v>
      </c>
      <c r="AO5" s="438"/>
      <c r="AP5" s="438" t="str">
        <f t="shared" si="0"/>
        <v xml:space="preserve">Источник тепловой энергии  </v>
      </c>
      <c r="AQ5" s="438"/>
      <c r="AR5" s="438"/>
      <c r="AS5" s="1076">
        <v>0</v>
      </c>
    </row>
    <row r="6" spans="1:45" ht="14.25" hidden="1" customHeight="1">
      <c r="A6" s="1284"/>
      <c r="B6" s="1284"/>
      <c r="C6" s="1284"/>
      <c r="D6" s="1284"/>
      <c r="E6" s="5470"/>
      <c r="F6" s="5470"/>
      <c r="G6" s="5470"/>
      <c r="H6" s="5470"/>
      <c r="I6" s="5471" t="e">
        <f>S5&amp;".1"</f>
        <v>#N/A</v>
      </c>
      <c r="J6" s="1284"/>
      <c r="K6" s="1284"/>
      <c r="L6" s="1285" t="s">
        <v>496</v>
      </c>
      <c r="M6" s="475"/>
      <c r="P6" s="5473">
        <v>1</v>
      </c>
      <c r="Q6" s="1252"/>
      <c r="R6" s="294"/>
      <c r="S6" s="967"/>
      <c r="T6" s="1304"/>
      <c r="U6" s="1305"/>
      <c r="V6" s="5500"/>
      <c r="W6" s="5501"/>
      <c r="X6" s="5501"/>
      <c r="Y6" s="5501"/>
      <c r="Z6" s="5501"/>
      <c r="AA6" s="5501"/>
      <c r="AB6" s="5501"/>
      <c r="AC6" s="5502"/>
      <c r="AD6" s="5500"/>
      <c r="AE6" s="5501"/>
      <c r="AF6" s="5501"/>
      <c r="AG6" s="5501"/>
      <c r="AH6" s="5501"/>
      <c r="AI6" s="5501"/>
      <c r="AJ6" s="5501"/>
      <c r="AK6" s="5501"/>
      <c r="AL6" s="5502"/>
      <c r="AM6" s="1306"/>
      <c r="AO6" s="438"/>
      <c r="AP6" s="438" t="str">
        <f t="shared" si="0"/>
        <v/>
      </c>
      <c r="AQ6" s="438"/>
      <c r="AR6" s="438"/>
      <c r="AS6" s="1076">
        <v>0</v>
      </c>
    </row>
    <row r="7" spans="1:45" ht="21" hidden="1" customHeight="1">
      <c r="A7" s="1284"/>
      <c r="B7" s="1284"/>
      <c r="C7" s="1284"/>
      <c r="D7" s="1284"/>
      <c r="E7" s="5470"/>
      <c r="F7" s="5470"/>
      <c r="G7" s="5470"/>
      <c r="H7" s="5470"/>
      <c r="I7" s="5472"/>
      <c r="J7" s="5471" t="e">
        <f>I6&amp;".1"</f>
        <v>#N/A</v>
      </c>
      <c r="K7" s="1284"/>
      <c r="L7" s="1285" t="s">
        <v>499</v>
      </c>
      <c r="M7" s="475"/>
      <c r="N7" s="1287"/>
      <c r="P7" s="5473"/>
      <c r="Q7" s="5473">
        <v>1</v>
      </c>
      <c r="R7" s="295"/>
      <c r="S7" s="1257" t="e">
        <f>$J7</f>
        <v>#N/A</v>
      </c>
      <c r="T7" s="224" t="s">
        <v>500</v>
      </c>
      <c r="U7" s="238"/>
      <c r="V7" s="5457"/>
      <c r="W7" s="5458"/>
      <c r="X7" s="5458"/>
      <c r="Y7" s="5458"/>
      <c r="Z7" s="5458"/>
      <c r="AA7" s="5458"/>
      <c r="AB7" s="5458"/>
      <c r="AC7" s="5459"/>
      <c r="AD7" s="5457"/>
      <c r="AE7" s="5458"/>
      <c r="AF7" s="5458"/>
      <c r="AG7" s="5458"/>
      <c r="AH7" s="5458"/>
      <c r="AI7" s="5458"/>
      <c r="AJ7" s="5458"/>
      <c r="AK7" s="5458"/>
      <c r="AL7" s="5459"/>
      <c r="AM7" s="1179" t="s">
        <v>501</v>
      </c>
      <c r="AO7" s="438"/>
      <c r="AP7" s="438" t="str">
        <f t="shared" si="0"/>
        <v>Группа потребителей</v>
      </c>
      <c r="AQ7" s="438"/>
      <c r="AR7" s="438"/>
      <c r="AS7" s="1076">
        <v>0</v>
      </c>
    </row>
    <row r="8" spans="1:45" ht="21" hidden="1" customHeight="1">
      <c r="A8" s="1284"/>
      <c r="B8" s="1284"/>
      <c r="C8" s="1284"/>
      <c r="D8" s="1284"/>
      <c r="E8" s="5470"/>
      <c r="F8" s="5470"/>
      <c r="G8" s="5470"/>
      <c r="H8" s="5470"/>
      <c r="I8" s="5472"/>
      <c r="J8" s="5472"/>
      <c r="K8" s="5471" t="e">
        <f>J7&amp;".1"</f>
        <v>#N/A</v>
      </c>
      <c r="L8" s="1285" t="s">
        <v>502</v>
      </c>
      <c r="M8" s="475"/>
      <c r="N8" s="1287"/>
      <c r="O8" s="1287"/>
      <c r="P8" s="5473"/>
      <c r="Q8" s="5473"/>
      <c r="R8" s="295">
        <v>1</v>
      </c>
      <c r="S8" s="1257" t="e">
        <f>$K8</f>
        <v>#N/A</v>
      </c>
      <c r="T8" s="1268"/>
      <c r="U8" s="238"/>
      <c r="V8" s="689"/>
      <c r="W8" s="263"/>
      <c r="X8" s="689"/>
      <c r="Y8" s="1178"/>
      <c r="Z8" s="5474"/>
      <c r="AA8" s="5338" t="s">
        <v>66</v>
      </c>
      <c r="AB8" s="5474"/>
      <c r="AC8" s="5338" t="s">
        <v>66</v>
      </c>
      <c r="AD8" s="689"/>
      <c r="AE8" s="263"/>
      <c r="AF8" s="689"/>
      <c r="AG8" s="1178"/>
      <c r="AH8" s="5474"/>
      <c r="AI8" s="5338" t="s">
        <v>66</v>
      </c>
      <c r="AJ8" s="5474"/>
      <c r="AK8" s="5338" t="s">
        <v>66</v>
      </c>
      <c r="AL8" s="263"/>
      <c r="AM8" s="5492" t="s">
        <v>503</v>
      </c>
      <c r="AN8" s="449" t="e">
        <f ca="1">STRCHECKDATE(V9:AL9)</f>
        <v>#NAME?</v>
      </c>
      <c r="AO8" s="438"/>
      <c r="AP8" s="438" t="str">
        <f t="shared" si="0"/>
        <v/>
      </c>
      <c r="AQ8" s="438"/>
      <c r="AR8" s="438"/>
      <c r="AS8" s="1076">
        <v>0</v>
      </c>
    </row>
    <row r="9" spans="1:45" ht="0.75" hidden="1" customHeight="1">
      <c r="A9" s="1284"/>
      <c r="B9" s="1284"/>
      <c r="C9" s="1284"/>
      <c r="D9" s="1284"/>
      <c r="E9" s="5470"/>
      <c r="F9" s="5470"/>
      <c r="G9" s="5470"/>
      <c r="H9" s="5470"/>
      <c r="I9" s="5472"/>
      <c r="J9" s="5472"/>
      <c r="K9" s="5471"/>
      <c r="L9" s="1285"/>
      <c r="M9" s="475"/>
      <c r="N9" s="1287"/>
      <c r="O9" s="1287"/>
      <c r="P9" s="5473"/>
      <c r="Q9" s="5473"/>
      <c r="R9" s="295"/>
      <c r="S9" s="1263"/>
      <c r="T9" s="238"/>
      <c r="U9" s="238"/>
      <c r="V9" s="263"/>
      <c r="W9" s="263"/>
      <c r="X9" s="263"/>
      <c r="Y9" s="266" t="str">
        <f>Z8&amp;"-"&amp;AB8</f>
        <v>-</v>
      </c>
      <c r="Z9" s="5475"/>
      <c r="AA9" s="5338"/>
      <c r="AB9" s="5475"/>
      <c r="AC9" s="5338"/>
      <c r="AD9" s="263"/>
      <c r="AE9" s="263"/>
      <c r="AF9" s="263"/>
      <c r="AG9" s="266" t="str">
        <f>AH8&amp;"-"&amp;AJ8</f>
        <v>-</v>
      </c>
      <c r="AH9" s="5475"/>
      <c r="AI9" s="5338"/>
      <c r="AJ9" s="5475"/>
      <c r="AK9" s="5338"/>
      <c r="AL9" s="263"/>
      <c r="AM9" s="5493"/>
      <c r="AO9" s="438"/>
      <c r="AP9" s="438" t="str">
        <f t="shared" si="0"/>
        <v/>
      </c>
      <c r="AQ9" s="438"/>
      <c r="AR9" s="438"/>
      <c r="AS9" s="1076">
        <v>0</v>
      </c>
    </row>
    <row r="10" spans="1:45" ht="15" hidden="1" customHeight="1">
      <c r="A10" s="1284"/>
      <c r="B10" s="1284"/>
      <c r="C10" s="1284"/>
      <c r="D10" s="1284"/>
      <c r="E10" s="5470"/>
      <c r="F10" s="5470"/>
      <c r="G10" s="5470"/>
      <c r="H10" s="5470"/>
      <c r="I10" s="5472"/>
      <c r="J10" s="5471"/>
      <c r="K10" s="1284"/>
      <c r="L10" s="1285"/>
      <c r="M10" s="475"/>
      <c r="N10" s="1287"/>
      <c r="P10" s="5473"/>
      <c r="Q10" s="5473"/>
      <c r="R10" s="294"/>
      <c r="S10" s="1199"/>
      <c r="T10" s="225" t="s">
        <v>504</v>
      </c>
      <c r="U10" s="305"/>
      <c r="V10" s="305"/>
      <c r="W10" s="305"/>
      <c r="X10" s="305"/>
      <c r="Y10" s="305"/>
      <c r="Z10" s="305"/>
      <c r="AA10" s="305"/>
      <c r="AB10" s="305"/>
      <c r="AC10" s="305"/>
      <c r="AD10" s="305"/>
      <c r="AE10" s="305"/>
      <c r="AF10" s="305"/>
      <c r="AG10" s="305"/>
      <c r="AH10" s="305"/>
      <c r="AI10" s="305"/>
      <c r="AJ10" s="305"/>
      <c r="AK10" s="305"/>
      <c r="AL10" s="262"/>
      <c r="AM10" s="5494"/>
      <c r="AO10" s="438"/>
      <c r="AP10" s="438" t="str">
        <f t="shared" si="0"/>
        <v>Добавить вид теплоносителя (параметры теплоносителя)</v>
      </c>
      <c r="AQ10" s="438"/>
      <c r="AR10" s="438"/>
      <c r="AS10" s="1076">
        <v>0</v>
      </c>
    </row>
    <row r="11" spans="1:45" ht="15" hidden="1" customHeight="1">
      <c r="A11" s="1284"/>
      <c r="B11" s="1284"/>
      <c r="C11" s="1284"/>
      <c r="D11" s="1284"/>
      <c r="E11" s="5470"/>
      <c r="F11" s="5470"/>
      <c r="G11" s="5470"/>
      <c r="H11" s="5470"/>
      <c r="I11" s="5471"/>
      <c r="J11" s="1284"/>
      <c r="K11" s="1284"/>
      <c r="L11" s="1285"/>
      <c r="M11" s="475"/>
      <c r="P11" s="5473"/>
      <c r="Q11" s="1252"/>
      <c r="R11" s="294"/>
      <c r="S11" s="1199"/>
      <c r="T11" s="303" t="s">
        <v>505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76">
        <v>0</v>
      </c>
    </row>
    <row r="12" spans="1:45" ht="14.25" hidden="1" customHeight="1">
      <c r="A12" s="1284"/>
      <c r="B12" s="1284"/>
      <c r="C12" s="1284"/>
      <c r="D12" s="1284"/>
      <c r="E12" s="5470"/>
      <c r="F12" s="5470"/>
      <c r="G12" s="5470"/>
      <c r="H12" s="5469"/>
      <c r="I12" s="1284"/>
      <c r="J12" s="1284"/>
      <c r="K12" s="1284"/>
      <c r="L12" s="1285"/>
      <c r="M12" s="1286"/>
      <c r="N12" s="1286"/>
      <c r="O12" s="475"/>
      <c r="P12" s="298"/>
      <c r="Q12" s="313"/>
      <c r="R12" s="293"/>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38"/>
      <c r="AP12" s="438" t="str">
        <f t="shared" si="0"/>
        <v/>
      </c>
      <c r="AQ12" s="438"/>
      <c r="AR12" s="438"/>
      <c r="AS12" s="1076">
        <v>0</v>
      </c>
    </row>
    <row r="13" spans="1:45" s="4275" customFormat="1" ht="0.75" hidden="1" customHeight="1">
      <c r="A13" s="1235"/>
      <c r="B13" s="1235"/>
      <c r="C13" s="1235"/>
      <c r="D13" s="1235"/>
      <c r="E13" s="5470"/>
      <c r="F13" s="5470"/>
      <c r="G13" s="5469"/>
      <c r="H13" s="1235"/>
      <c r="I13" s="1235"/>
      <c r="J13" s="1235"/>
      <c r="K13" s="1235"/>
      <c r="L13" s="1260"/>
      <c r="M13" s="1236"/>
      <c r="N13" s="1236"/>
      <c r="P13" s="1237"/>
      <c r="Q13" s="1238"/>
      <c r="R13" s="1237"/>
      <c r="S13" s="1239"/>
      <c r="T13" s="1240" t="s">
        <v>507</v>
      </c>
      <c r="U13" s="1241"/>
      <c r="V13" s="1241"/>
      <c r="W13" s="1241"/>
      <c r="X13" s="1241"/>
      <c r="Y13" s="1241"/>
      <c r="Z13" s="1241"/>
      <c r="AA13" s="1241"/>
      <c r="AB13" s="1241"/>
      <c r="AC13" s="1241"/>
      <c r="AD13" s="1241"/>
      <c r="AE13" s="1241"/>
      <c r="AF13" s="1241"/>
      <c r="AG13" s="1241"/>
      <c r="AH13" s="1241"/>
      <c r="AI13" s="1241"/>
      <c r="AJ13" s="1241"/>
      <c r="AK13" s="1241"/>
      <c r="AL13" s="1241"/>
      <c r="AM13" s="1241"/>
      <c r="AO13" s="721"/>
      <c r="AP13" s="721" t="str">
        <f t="shared" si="0"/>
        <v>Добавить источник для дифференциации</v>
      </c>
      <c r="AQ13" s="721"/>
      <c r="AR13" s="721"/>
      <c r="AS13" s="456">
        <v>0</v>
      </c>
    </row>
    <row r="14" spans="1:45" s="4275" customFormat="1" ht="0.75" hidden="1" customHeight="1">
      <c r="A14" s="1235"/>
      <c r="B14" s="1235"/>
      <c r="C14" s="1235"/>
      <c r="D14" s="1235"/>
      <c r="E14" s="5470"/>
      <c r="F14" s="5469"/>
      <c r="G14" s="1235"/>
      <c r="H14" s="1235"/>
      <c r="I14" s="1235"/>
      <c r="J14" s="1235"/>
      <c r="K14" s="1235"/>
      <c r="L14" s="1260"/>
      <c r="M14" s="1242"/>
      <c r="N14" s="1242"/>
      <c r="P14" s="1237"/>
      <c r="Q14" s="1238"/>
      <c r="R14" s="1237"/>
      <c r="S14" s="1243"/>
      <c r="T14" s="1244" t="s">
        <v>312</v>
      </c>
      <c r="U14" s="1245"/>
      <c r="V14" s="1245"/>
      <c r="W14" s="1245"/>
      <c r="X14" s="1245"/>
      <c r="Y14" s="1245"/>
      <c r="Z14" s="1245"/>
      <c r="AA14" s="1245"/>
      <c r="AB14" s="1245"/>
      <c r="AC14" s="1245"/>
      <c r="AD14" s="1245"/>
      <c r="AE14" s="1245"/>
      <c r="AF14" s="1245"/>
      <c r="AG14" s="1245"/>
      <c r="AH14" s="1245"/>
      <c r="AI14" s="1245"/>
      <c r="AJ14" s="1245"/>
      <c r="AK14" s="1245"/>
      <c r="AL14" s="1245"/>
      <c r="AM14" s="1245"/>
      <c r="AO14" s="721"/>
      <c r="AP14" s="721" t="str">
        <f t="shared" si="0"/>
        <v>Добавить централизованную систему для дифференциации</v>
      </c>
      <c r="AQ14" s="721"/>
      <c r="AR14" s="721"/>
      <c r="AS14" s="456">
        <v>0</v>
      </c>
    </row>
    <row r="15" spans="1:45" s="4275" customFormat="1" ht="0.75" hidden="1" customHeight="1">
      <c r="A15" s="1235"/>
      <c r="B15" s="1235"/>
      <c r="C15" s="1235"/>
      <c r="D15" s="1235"/>
      <c r="E15" s="5469"/>
      <c r="F15" s="1235"/>
      <c r="G15" s="1235"/>
      <c r="H15" s="1235"/>
      <c r="I15" s="1235"/>
      <c r="J15" s="1235"/>
      <c r="K15" s="1235"/>
      <c r="L15" s="1260"/>
      <c r="M15" s="1242"/>
      <c r="N15" s="1242"/>
      <c r="P15" s="1237"/>
      <c r="Q15" s="1238"/>
      <c r="R15" s="1237"/>
      <c r="S15" s="1243"/>
      <c r="T15" s="1246" t="s">
        <v>360</v>
      </c>
      <c r="U15" s="1245"/>
      <c r="V15" s="1245"/>
      <c r="W15" s="1245"/>
      <c r="X15" s="1245"/>
      <c r="Y15" s="1245"/>
      <c r="Z15" s="1245"/>
      <c r="AA15" s="1245"/>
      <c r="AB15" s="1245"/>
      <c r="AC15" s="1245"/>
      <c r="AD15" s="1245"/>
      <c r="AE15" s="1245"/>
      <c r="AF15" s="1245"/>
      <c r="AG15" s="1245"/>
      <c r="AH15" s="1245"/>
      <c r="AI15" s="1245"/>
      <c r="AJ15" s="1245"/>
      <c r="AK15" s="1245"/>
      <c r="AL15" s="1245"/>
      <c r="AM15" s="1245"/>
      <c r="AO15" s="721"/>
      <c r="AP15" s="721" t="str">
        <f t="shared" si="0"/>
        <v>Добавить территорию для дифференциации</v>
      </c>
      <c r="AQ15" s="721"/>
      <c r="AR15" s="721"/>
      <c r="AS15" s="456">
        <v>0</v>
      </c>
    </row>
    <row r="16" spans="1:45" ht="14.25" hidden="1" customHeight="1">
      <c r="AC16" s="265"/>
      <c r="AK16" s="265"/>
      <c r="AS16" s="1076">
        <v>0</v>
      </c>
    </row>
    <row r="17" spans="1:45" ht="14.25" hidden="1" customHeight="1">
      <c r="AD17" s="1281"/>
      <c r="AE17" s="1281"/>
      <c r="AF17" s="1281"/>
      <c r="AG17" s="1282"/>
      <c r="AH17" s="5467"/>
      <c r="AI17" s="5466" t="s">
        <v>66</v>
      </c>
      <c r="AJ17" s="5467"/>
      <c r="AK17" s="5466" t="s">
        <v>66</v>
      </c>
      <c r="AS17" s="1076">
        <v>0</v>
      </c>
    </row>
    <row r="18" spans="1:45" ht="14.25" hidden="1" customHeight="1">
      <c r="AD18" s="1281"/>
      <c r="AE18" s="1281"/>
      <c r="AF18" s="1281"/>
      <c r="AG18" s="266" t="str">
        <f>AH17&amp;"-"&amp;AJ17</f>
        <v>-</v>
      </c>
      <c r="AH18" s="5466"/>
      <c r="AI18" s="5466"/>
      <c r="AJ18" s="5466"/>
      <c r="AK18" s="5466"/>
      <c r="AS18" s="1076">
        <v>0</v>
      </c>
    </row>
    <row r="19" spans="1:45" ht="14.25" hidden="1" customHeight="1">
      <c r="AK19" s="265"/>
      <c r="AS19" s="1076">
        <v>0</v>
      </c>
    </row>
    <row r="20" spans="1:45" s="4274" customFormat="1" ht="22.5" hidden="1" customHeight="1">
      <c r="L20" s="1250"/>
      <c r="M20" s="1283"/>
      <c r="N20" s="1283"/>
      <c r="O20" s="1288" t="s">
        <v>508</v>
      </c>
      <c r="P20" s="1283"/>
      <c r="Q20" s="1292"/>
      <c r="R20" s="1292"/>
      <c r="S20" s="667"/>
      <c r="Z20" s="1288"/>
      <c r="AB20" s="1288"/>
      <c r="AC20" s="1287"/>
      <c r="AH20" s="1288"/>
      <c r="AJ20" s="1288"/>
      <c r="AK20" s="1287"/>
      <c r="AN20" s="449"/>
      <c r="AO20" s="449"/>
      <c r="AP20" s="449"/>
      <c r="AQ20" s="449"/>
      <c r="AR20" s="449"/>
      <c r="AS20" s="1081">
        <v>0</v>
      </c>
    </row>
    <row r="21" spans="1:45" s="4274" customFormat="1" ht="14.25" hidden="1" customHeight="1">
      <c r="L21" s="1250"/>
      <c r="M21" s="1283"/>
      <c r="N21" s="1283"/>
      <c r="O21" s="1283"/>
      <c r="P21" s="1283"/>
      <c r="Q21" s="1292"/>
      <c r="R21" s="1292"/>
      <c r="S21" s="667"/>
      <c r="AC21" s="1287"/>
      <c r="AK21" s="1287"/>
      <c r="AN21" s="449"/>
      <c r="AO21" s="449"/>
      <c r="AP21" s="449"/>
      <c r="AQ21" s="449"/>
      <c r="AR21" s="449"/>
      <c r="AS21" s="1081">
        <v>0</v>
      </c>
    </row>
    <row r="22" spans="1:45" s="4274" customFormat="1" ht="14.25" hidden="1" customHeight="1">
      <c r="L22" s="1250"/>
      <c r="M22" s="1283"/>
      <c r="N22" s="1283"/>
      <c r="O22" s="1285" t="s">
        <v>509</v>
      </c>
      <c r="P22" s="1283"/>
      <c r="Q22" s="1292"/>
      <c r="R22" s="1292"/>
      <c r="S22" s="667"/>
      <c r="T22" s="1081" t="s">
        <v>510</v>
      </c>
      <c r="AA22" s="124" t="s">
        <v>511</v>
      </c>
      <c r="AC22" s="124" t="s">
        <v>512</v>
      </c>
      <c r="AD22" s="1081" t="s">
        <v>510</v>
      </c>
      <c r="AI22" s="124" t="s">
        <v>513</v>
      </c>
      <c r="AK22" s="124" t="s">
        <v>512</v>
      </c>
      <c r="AN22" s="449"/>
      <c r="AO22" s="449"/>
      <c r="AP22" s="449"/>
      <c r="AQ22" s="449"/>
      <c r="AR22" s="449"/>
      <c r="AS22" s="1081">
        <v>0</v>
      </c>
    </row>
    <row r="23" spans="1:45" ht="14.25" hidden="1" customHeight="1">
      <c r="O23" s="1285"/>
      <c r="AS23" s="1076">
        <v>0</v>
      </c>
    </row>
    <row r="24" spans="1:45" ht="14.25" hidden="1" customHeight="1">
      <c r="O24" s="1285"/>
      <c r="AS24" s="1076">
        <v>0</v>
      </c>
    </row>
    <row r="25" spans="1:45" ht="14.65" customHeight="1">
      <c r="Q25" s="314"/>
      <c r="R25" s="314"/>
      <c r="S25" s="1196"/>
      <c r="T25" s="301"/>
      <c r="U25" s="301"/>
      <c r="V25" s="447"/>
      <c r="W25" s="447"/>
      <c r="X25" s="447"/>
      <c r="Y25" s="447"/>
      <c r="Z25" s="447"/>
      <c r="AA25" s="447"/>
      <c r="AB25" s="447"/>
      <c r="AC25" s="447"/>
      <c r="AD25" s="447"/>
      <c r="AE25" s="447"/>
      <c r="AF25" s="447"/>
      <c r="AG25" s="447"/>
      <c r="AH25" s="447"/>
      <c r="AI25" s="447"/>
      <c r="AJ25" s="447"/>
      <c r="AK25" s="447"/>
      <c r="AS25" s="1076">
        <v>14</v>
      </c>
    </row>
    <row r="26" spans="1:45" ht="63" customHeight="1">
      <c r="Q26" s="314"/>
      <c r="R26" s="314"/>
      <c r="S26" s="54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450"/>
      <c r="U26" s="5450"/>
      <c r="V26" s="5450"/>
      <c r="W26" s="5450"/>
      <c r="X26" s="5450"/>
      <c r="Y26" s="5450"/>
      <c r="Z26" s="5450"/>
      <c r="AA26" s="5450"/>
      <c r="AB26" s="5450"/>
      <c r="AC26" s="5450"/>
      <c r="AD26" s="5450"/>
      <c r="AE26" s="5450"/>
      <c r="AF26" s="5450"/>
      <c r="AG26" s="5450"/>
      <c r="AH26" s="5450"/>
      <c r="AI26" s="5450"/>
      <c r="AJ26" s="5450"/>
      <c r="AK26" s="1164"/>
      <c r="AS26" s="1076">
        <v>60</v>
      </c>
    </row>
    <row r="27" spans="1:45" ht="14.65" customHeight="1">
      <c r="Q27" s="314"/>
      <c r="R27" s="314"/>
      <c r="S27" s="5423" t="str">
        <f>IF(org=0,"Не определено",org)</f>
        <v>КГУП "Примтеплоэнерго"</v>
      </c>
      <c r="T27" s="5423"/>
      <c r="U27" s="5423"/>
      <c r="V27" s="5423"/>
      <c r="W27" s="5423"/>
      <c r="X27" s="5423"/>
      <c r="Y27" s="5423"/>
      <c r="Z27" s="5423"/>
      <c r="AA27" s="5423"/>
      <c r="AB27" s="5423"/>
      <c r="AC27" s="5423"/>
      <c r="AD27" s="5423"/>
      <c r="AE27" s="5423"/>
      <c r="AF27" s="5423"/>
      <c r="AG27" s="5423"/>
      <c r="AH27" s="5423"/>
      <c r="AI27" s="5423"/>
      <c r="AJ27" s="5423"/>
      <c r="AK27" s="1164"/>
      <c r="AS27" s="1076">
        <v>14</v>
      </c>
    </row>
    <row r="28" spans="1:45" ht="14.25" hidden="1" customHeight="1">
      <c r="Q28" s="314"/>
      <c r="R28" s="314"/>
      <c r="S28" s="1196"/>
      <c r="T28" s="301"/>
      <c r="U28" s="301"/>
      <c r="V28" s="260"/>
      <c r="W28" s="260"/>
      <c r="X28" s="260"/>
      <c r="Y28" s="260"/>
      <c r="Z28" s="260"/>
      <c r="AA28" s="260"/>
      <c r="AB28" s="260"/>
      <c r="AC28" s="260"/>
      <c r="AD28" s="260"/>
      <c r="AE28" s="260"/>
      <c r="AF28" s="260"/>
      <c r="AG28" s="260"/>
      <c r="AH28" s="260"/>
      <c r="AI28" s="260"/>
      <c r="AJ28" s="260"/>
      <c r="AK28" s="260"/>
      <c r="AL28" s="447"/>
      <c r="AS28" s="1076">
        <v>0</v>
      </c>
    </row>
    <row r="29" spans="1:45" s="4284" customFormat="1" ht="25.5" hidden="1" customHeight="1">
      <c r="A29" s="1289"/>
      <c r="B29" s="1289"/>
      <c r="C29" s="1289"/>
      <c r="D29" s="1289"/>
      <c r="E29" s="1289"/>
      <c r="F29" s="1289"/>
      <c r="G29" s="1289"/>
      <c r="H29" s="1289"/>
      <c r="I29" s="1289"/>
      <c r="J29" s="1289"/>
      <c r="K29" s="1289"/>
      <c r="L29" s="1290"/>
      <c r="M29" s="1289"/>
      <c r="N29" s="1289"/>
      <c r="O29" s="1289"/>
      <c r="S29" s="5460" t="s">
        <v>42</v>
      </c>
      <c r="T29" s="5460"/>
      <c r="U29" s="1293"/>
      <c r="V29" s="5462" t="str">
        <f>IF(TITLE_NAME_OR_PR_CHANGE="",IF(TITLE_NAME_OR_PR="","",TITLE_NAME_OR_PR),TITLE_NAME_OR_PR_CHANGE)</f>
        <v/>
      </c>
      <c r="W29" s="5462"/>
      <c r="X29" s="5462"/>
      <c r="Y29" s="5462"/>
      <c r="Z29" s="5462"/>
      <c r="AA29" s="5462"/>
      <c r="AB29" s="5462"/>
      <c r="AC29" s="264"/>
      <c r="AD29" s="5462" t="str">
        <f>IF(TITLE_NAME_OR_PR_CHANGE="",IF(TITLE_NAME_OR_PR="","",TITLE_NAME_OR_PR),TITLE_NAME_OR_PR_CHANGE)</f>
        <v/>
      </c>
      <c r="AE29" s="5462"/>
      <c r="AF29" s="5462"/>
      <c r="AG29" s="5462"/>
      <c r="AH29" s="5462"/>
      <c r="AI29" s="5462"/>
      <c r="AJ29" s="5462"/>
      <c r="AK29" s="264"/>
      <c r="AL29" s="264"/>
      <c r="AM29" s="218"/>
      <c r="AN29" s="306"/>
      <c r="AO29" s="306"/>
      <c r="AP29" s="306"/>
      <c r="AQ29" s="306"/>
      <c r="AR29" s="306"/>
      <c r="AS29" s="356">
        <v>0</v>
      </c>
    </row>
    <row r="30" spans="1:45" s="4284" customFormat="1" ht="18.75" hidden="1" customHeight="1">
      <c r="A30" s="1289"/>
      <c r="B30" s="1289"/>
      <c r="C30" s="1289"/>
      <c r="D30" s="1289"/>
      <c r="E30" s="1289"/>
      <c r="F30" s="1289"/>
      <c r="G30" s="1289"/>
      <c r="H30" s="1289"/>
      <c r="I30" s="1289"/>
      <c r="J30" s="1289"/>
      <c r="K30" s="1289"/>
      <c r="L30" s="1290"/>
      <c r="M30" s="1289"/>
      <c r="N30" s="1289"/>
      <c r="O30" s="1289"/>
      <c r="S30" s="5460" t="s">
        <v>514</v>
      </c>
      <c r="T30" s="5460"/>
      <c r="U30" s="1293"/>
      <c r="V30" s="5461">
        <f>IF(TITLE_DATE_PR_CHANGE="",IF(TITLE_DATE_PR="","",TITLE_DATE_PR),TITLE_DATE_PR_CHANGE)</f>
        <v>45649.605891203704</v>
      </c>
      <c r="W30" s="5461"/>
      <c r="X30" s="5461"/>
      <c r="Y30" s="5461"/>
      <c r="Z30" s="5461"/>
      <c r="AA30" s="5461"/>
      <c r="AB30" s="5461"/>
      <c r="AC30" s="264"/>
      <c r="AD30" s="5461">
        <f>IF(TITLE_DATE_PR_CHANGE="",IF(TITLE_DATE_PR="","",TITLE_DATE_PR),TITLE_DATE_PR_CHANGE)</f>
        <v>45649.605891203704</v>
      </c>
      <c r="AE30" s="5461"/>
      <c r="AF30" s="5461"/>
      <c r="AG30" s="5461"/>
      <c r="AH30" s="5461"/>
      <c r="AI30" s="5461"/>
      <c r="AJ30" s="5461"/>
      <c r="AK30" s="264"/>
      <c r="AL30" s="264"/>
      <c r="AM30" s="218"/>
      <c r="AN30" s="306"/>
      <c r="AO30" s="306"/>
      <c r="AP30" s="306"/>
      <c r="AQ30" s="306"/>
      <c r="AR30" s="306"/>
      <c r="AS30" s="356">
        <v>0</v>
      </c>
    </row>
    <row r="31" spans="1:45" s="4284" customFormat="1" ht="18.75" hidden="1" customHeight="1">
      <c r="A31" s="1289"/>
      <c r="B31" s="1289"/>
      <c r="C31" s="1289"/>
      <c r="D31" s="1289"/>
      <c r="E31" s="1289"/>
      <c r="F31" s="1289"/>
      <c r="G31" s="1289"/>
      <c r="H31" s="1289"/>
      <c r="I31" s="1289"/>
      <c r="J31" s="1289"/>
      <c r="K31" s="1289"/>
      <c r="L31" s="1290"/>
      <c r="M31" s="1289"/>
      <c r="N31" s="1289"/>
      <c r="O31" s="1289"/>
      <c r="S31" s="5460" t="s">
        <v>515</v>
      </c>
      <c r="T31" s="5460"/>
      <c r="U31" s="1293"/>
      <c r="V31" s="5462" t="str">
        <f>IF(TITLE_NUMBER_PR_CHANGE="",IF(TITLE_NUMBER_PR="","",TITLE_NUMBER_PR),TITLE_NUMBER_PR_CHANGE)</f>
        <v>27-6414</v>
      </c>
      <c r="W31" s="5462"/>
      <c r="X31" s="5462"/>
      <c r="Y31" s="5462"/>
      <c r="Z31" s="5462"/>
      <c r="AA31" s="5462"/>
      <c r="AB31" s="5462"/>
      <c r="AC31" s="264"/>
      <c r="AD31" s="5462" t="str">
        <f>IF(TITLE_NUMBER_PR_CHANGE="",IF(TITLE_NUMBER_PR="","",TITLE_NUMBER_PR),TITLE_NUMBER_PR_CHANGE)</f>
        <v>27-6414</v>
      </c>
      <c r="AE31" s="5462"/>
      <c r="AF31" s="5462"/>
      <c r="AG31" s="5462"/>
      <c r="AH31" s="5462"/>
      <c r="AI31" s="5462"/>
      <c r="AJ31" s="5462"/>
      <c r="AK31" s="264"/>
      <c r="AL31" s="264"/>
      <c r="AM31" s="218"/>
      <c r="AN31" s="306"/>
      <c r="AO31" s="306"/>
      <c r="AP31" s="306"/>
      <c r="AQ31" s="306"/>
      <c r="AR31" s="306"/>
      <c r="AS31" s="356">
        <v>0</v>
      </c>
    </row>
    <row r="32" spans="1:45" s="4284" customFormat="1" ht="18.75" hidden="1" customHeight="1">
      <c r="A32" s="1289"/>
      <c r="B32" s="1289"/>
      <c r="C32" s="1289"/>
      <c r="D32" s="1289"/>
      <c r="E32" s="1289"/>
      <c r="F32" s="1289"/>
      <c r="G32" s="1289"/>
      <c r="H32" s="1289"/>
      <c r="I32" s="1289"/>
      <c r="J32" s="1289"/>
      <c r="K32" s="1289"/>
      <c r="L32" s="1290"/>
      <c r="M32" s="1289"/>
      <c r="N32" s="1289"/>
      <c r="O32" s="1289"/>
      <c r="S32" s="5460" t="s">
        <v>43</v>
      </c>
      <c r="T32" s="5460"/>
      <c r="U32" s="1293"/>
      <c r="V32" s="5462" t="str">
        <f>IF(TITLE_IST_PUB_CHANGE="",IF(TITLE_IST_PUB="","",TITLE_IST_PUB),TITLE_IST_PUB_CHANGE)</f>
        <v/>
      </c>
      <c r="W32" s="5462"/>
      <c r="X32" s="5462"/>
      <c r="Y32" s="5462"/>
      <c r="Z32" s="5462"/>
      <c r="AA32" s="5462"/>
      <c r="AB32" s="5462"/>
      <c r="AC32" s="264"/>
      <c r="AD32" s="5462" t="str">
        <f>IF(TITLE_IST_PUB_CHANGE="",IF(TITLE_IST_PUB="","",TITLE_IST_PUB),TITLE_IST_PUB_CHANGE)</f>
        <v/>
      </c>
      <c r="AE32" s="5462"/>
      <c r="AF32" s="5462"/>
      <c r="AG32" s="5462"/>
      <c r="AH32" s="5462"/>
      <c r="AI32" s="5462"/>
      <c r="AJ32" s="5462"/>
      <c r="AK32" s="264"/>
      <c r="AL32" s="264"/>
      <c r="AM32" s="218"/>
      <c r="AN32" s="306"/>
      <c r="AO32" s="306"/>
      <c r="AP32" s="306"/>
      <c r="AQ32" s="306"/>
      <c r="AR32" s="306"/>
      <c r="AS32" s="356">
        <v>0</v>
      </c>
    </row>
    <row r="33" spans="1:45" ht="14.25" customHeight="1">
      <c r="Q33" s="314"/>
      <c r="R33" s="314"/>
      <c r="S33" s="1196"/>
      <c r="T33" s="301"/>
      <c r="U33" s="301"/>
      <c r="V33" s="260"/>
      <c r="W33" s="260"/>
      <c r="X33" s="260"/>
      <c r="Y33" s="260"/>
      <c r="Z33" s="260"/>
      <c r="AA33" s="260"/>
      <c r="AB33" s="260"/>
      <c r="AC33" s="260"/>
      <c r="AD33" s="260"/>
      <c r="AE33" s="260"/>
      <c r="AF33" s="260"/>
      <c r="AG33" s="260"/>
      <c r="AH33" s="260"/>
      <c r="AI33" s="260"/>
      <c r="AJ33" s="260"/>
      <c r="AK33" s="260"/>
      <c r="AL33" s="447"/>
      <c r="AS33" s="1076">
        <v>0</v>
      </c>
    </row>
    <row r="34" spans="1:45" s="4284" customFormat="1" ht="18.75" customHeight="1">
      <c r="A34" s="1289"/>
      <c r="B34" s="1289"/>
      <c r="C34" s="1289"/>
      <c r="D34" s="1289"/>
      <c r="E34" s="1289"/>
      <c r="F34" s="1289"/>
      <c r="G34" s="1289"/>
      <c r="H34" s="1289"/>
      <c r="I34" s="1289"/>
      <c r="J34" s="1289"/>
      <c r="K34" s="1289"/>
      <c r="L34" s="1290"/>
      <c r="M34" s="1289"/>
      <c r="N34" s="1289"/>
      <c r="O34" s="1289"/>
      <c r="S34" s="5460" t="s">
        <v>516</v>
      </c>
      <c r="T34" s="5460"/>
      <c r="U34" s="1293"/>
      <c r="V34" s="5461">
        <f>IF(TITLE_DATE_PR_CHANGE="",IF(TITLE_DATE_PR="","",TITLE_DATE_PR),TITLE_DATE_PR_CHANGE)</f>
        <v>45649.605891203704</v>
      </c>
      <c r="W34" s="5461"/>
      <c r="X34" s="5461"/>
      <c r="Y34" s="5461"/>
      <c r="Z34" s="5461"/>
      <c r="AA34" s="5461"/>
      <c r="AB34" s="5461"/>
      <c r="AC34" s="264"/>
      <c r="AD34" s="5461">
        <f>IF(TITLE_DATE_PR_CHANGE="",IF(TITLE_DATE_PR="","",TITLE_DATE_PR),TITLE_DATE_PR_CHANGE)</f>
        <v>45649.605891203704</v>
      </c>
      <c r="AE34" s="5461"/>
      <c r="AF34" s="5461"/>
      <c r="AG34" s="5461"/>
      <c r="AH34" s="5461"/>
      <c r="AI34" s="5461"/>
      <c r="AJ34" s="5461"/>
      <c r="AK34" s="264"/>
      <c r="AL34" s="264"/>
      <c r="AM34" s="218"/>
      <c r="AN34" s="306"/>
      <c r="AO34" s="306"/>
      <c r="AP34" s="306"/>
      <c r="AQ34" s="306"/>
      <c r="AR34" s="306"/>
      <c r="AS34" s="356">
        <v>0</v>
      </c>
    </row>
    <row r="35" spans="1:45" s="4284" customFormat="1" ht="18.75" customHeight="1">
      <c r="A35" s="1289"/>
      <c r="B35" s="1289"/>
      <c r="C35" s="1289"/>
      <c r="D35" s="1289"/>
      <c r="E35" s="1289"/>
      <c r="F35" s="1289"/>
      <c r="G35" s="1289"/>
      <c r="H35" s="1289"/>
      <c r="I35" s="1289"/>
      <c r="J35" s="1289"/>
      <c r="K35" s="1289"/>
      <c r="L35" s="1290"/>
      <c r="M35" s="1289"/>
      <c r="N35" s="1289"/>
      <c r="O35" s="1289"/>
      <c r="S35" s="5460" t="s">
        <v>517</v>
      </c>
      <c r="T35" s="5460"/>
      <c r="U35" s="1293"/>
      <c r="V35" s="5462" t="str">
        <f>IF(TITLE_NUMBER_PR_CHANGE="",IF(TITLE_NUMBER_PR="","",TITLE_NUMBER_PR),TITLE_NUMBER_PR_CHANGE)</f>
        <v>27-6414</v>
      </c>
      <c r="W35" s="5462"/>
      <c r="X35" s="5462"/>
      <c r="Y35" s="5462"/>
      <c r="Z35" s="5462"/>
      <c r="AA35" s="5462"/>
      <c r="AB35" s="5462"/>
      <c r="AC35" s="264"/>
      <c r="AD35" s="5462" t="str">
        <f>IF(TITLE_NUMBER_PR_CHANGE="",IF(TITLE_NUMBER_PR="","",TITLE_NUMBER_PR),TITLE_NUMBER_PR_CHANGE)</f>
        <v>27-6414</v>
      </c>
      <c r="AE35" s="5462"/>
      <c r="AF35" s="5462"/>
      <c r="AG35" s="5462"/>
      <c r="AH35" s="5462"/>
      <c r="AI35" s="5462"/>
      <c r="AJ35" s="5462"/>
      <c r="AK35" s="264"/>
      <c r="AL35" s="264"/>
      <c r="AM35" s="218"/>
      <c r="AN35" s="306"/>
      <c r="AO35" s="306"/>
      <c r="AP35" s="306"/>
      <c r="AQ35" s="306"/>
      <c r="AR35" s="306"/>
      <c r="AS35" s="356">
        <v>0</v>
      </c>
    </row>
    <row r="36" spans="1:45" s="4284" customFormat="1" ht="0" hidden="1" customHeight="1">
      <c r="A36" s="1289"/>
      <c r="B36" s="1289"/>
      <c r="C36" s="1289"/>
      <c r="D36" s="1289"/>
      <c r="E36" s="1289"/>
      <c r="F36" s="1289"/>
      <c r="G36" s="1289"/>
      <c r="H36" s="1289"/>
      <c r="I36" s="1289"/>
      <c r="J36" s="1289"/>
      <c r="K36" s="1289"/>
      <c r="L36" s="1290"/>
      <c r="M36" s="1289"/>
      <c r="N36" s="1289"/>
      <c r="O36" s="1289"/>
      <c r="S36" s="261"/>
      <c r="T36" s="261"/>
      <c r="U36" s="1261"/>
      <c r="V36" s="264"/>
      <c r="W36" s="264"/>
      <c r="X36" s="264"/>
      <c r="Y36" s="264"/>
      <c r="Z36" s="264"/>
      <c r="AA36" s="264"/>
      <c r="AB36" s="264"/>
      <c r="AC36" s="216" t="s">
        <v>518</v>
      </c>
      <c r="AD36" s="264"/>
      <c r="AE36" s="264"/>
      <c r="AF36" s="264"/>
      <c r="AG36" s="264"/>
      <c r="AH36" s="264"/>
      <c r="AI36" s="264"/>
      <c r="AJ36" s="264"/>
      <c r="AK36" s="216" t="s">
        <v>518</v>
      </c>
      <c r="AN36" s="306"/>
      <c r="AO36" s="306"/>
      <c r="AP36" s="306"/>
      <c r="AQ36" s="306"/>
      <c r="AR36" s="306"/>
      <c r="AS36" s="356">
        <v>0</v>
      </c>
    </row>
    <row r="37" spans="1:45" ht="14.65" customHeight="1">
      <c r="Q37" s="314"/>
      <c r="R37" s="314"/>
      <c r="S37" s="1196"/>
      <c r="T37" s="301"/>
      <c r="U37" s="1165"/>
      <c r="V37" s="5481"/>
      <c r="W37" s="5481"/>
      <c r="X37" s="5481"/>
      <c r="Y37" s="5481"/>
      <c r="Z37" s="5481"/>
      <c r="AA37" s="5481"/>
      <c r="AB37" s="5481"/>
      <c r="AC37" s="5481"/>
      <c r="AD37" s="5481"/>
      <c r="AE37" s="5481"/>
      <c r="AF37" s="5481"/>
      <c r="AG37" s="5481"/>
      <c r="AH37" s="5481"/>
      <c r="AI37" s="5481"/>
      <c r="AJ37" s="5481"/>
      <c r="AK37" s="5481"/>
      <c r="AS37" s="1076">
        <v>14</v>
      </c>
    </row>
    <row r="38" spans="1:45" ht="14.65" customHeight="1">
      <c r="Q38" s="314"/>
      <c r="R38" s="314"/>
      <c r="S38" s="5328" t="s">
        <v>393</v>
      </c>
      <c r="T38" s="5328"/>
      <c r="U38" s="5328"/>
      <c r="V38" s="5328"/>
      <c r="W38" s="5328"/>
      <c r="X38" s="5328"/>
      <c r="Y38" s="5328"/>
      <c r="Z38" s="5328"/>
      <c r="AA38" s="5328"/>
      <c r="AB38" s="5328"/>
      <c r="AC38" s="5328"/>
      <c r="AD38" s="5328"/>
      <c r="AE38" s="5328"/>
      <c r="AF38" s="5328"/>
      <c r="AG38" s="5328"/>
      <c r="AH38" s="5328"/>
      <c r="AI38" s="5328"/>
      <c r="AJ38" s="5328"/>
      <c r="AK38" s="5328"/>
      <c r="AL38" s="5328"/>
      <c r="AM38" s="5328" t="s">
        <v>394</v>
      </c>
      <c r="AS38" s="1076">
        <v>14</v>
      </c>
    </row>
    <row r="39" spans="1:45" ht="14.65" customHeight="1">
      <c r="Q39" s="314"/>
      <c r="R39" s="314"/>
      <c r="S39" s="5482" t="s">
        <v>88</v>
      </c>
      <c r="T39" s="5431" t="s">
        <v>519</v>
      </c>
      <c r="U39" s="239"/>
      <c r="V39" s="5483" t="s">
        <v>520</v>
      </c>
      <c r="W39" s="5484"/>
      <c r="X39" s="5484"/>
      <c r="Y39" s="5484"/>
      <c r="Z39" s="5484"/>
      <c r="AA39" s="5484"/>
      <c r="AB39" s="5485"/>
      <c r="AC39" s="5486" t="s">
        <v>521</v>
      </c>
      <c r="AD39" s="5483" t="s">
        <v>520</v>
      </c>
      <c r="AE39" s="5484"/>
      <c r="AF39" s="5484"/>
      <c r="AG39" s="5484"/>
      <c r="AH39" s="5484"/>
      <c r="AI39" s="5484"/>
      <c r="AJ39" s="5485"/>
      <c r="AK39" s="5486" t="s">
        <v>522</v>
      </c>
      <c r="AL39" s="5489" t="s">
        <v>523</v>
      </c>
      <c r="AM39" s="5328"/>
      <c r="AS39" s="1076">
        <v>14</v>
      </c>
    </row>
    <row r="40" spans="1:45" ht="35.65" customHeight="1">
      <c r="Q40" s="314"/>
      <c r="R40" s="314"/>
      <c r="S40" s="5482"/>
      <c r="T40" s="5431"/>
      <c r="U40" s="956"/>
      <c r="V40" s="5403" t="s">
        <v>524</v>
      </c>
      <c r="W40" s="5478"/>
      <c r="X40" s="5309" t="s">
        <v>526</v>
      </c>
      <c r="Y40" s="5308"/>
      <c r="Z40" s="5309" t="s">
        <v>527</v>
      </c>
      <c r="AA40" s="5314"/>
      <c r="AB40" s="5308"/>
      <c r="AC40" s="5487"/>
      <c r="AD40" s="5403" t="s">
        <v>540</v>
      </c>
      <c r="AE40" s="5478"/>
      <c r="AF40" s="5309" t="s">
        <v>526</v>
      </c>
      <c r="AG40" s="5308"/>
      <c r="AH40" s="5309" t="s">
        <v>527</v>
      </c>
      <c r="AI40" s="5314"/>
      <c r="AJ40" s="5308"/>
      <c r="AK40" s="5487"/>
      <c r="AL40" s="5490"/>
      <c r="AM40" s="5328"/>
      <c r="AS40" s="1076">
        <v>34</v>
      </c>
    </row>
    <row r="41" spans="1:45" ht="35.65" customHeight="1">
      <c r="A41" s="1291"/>
      <c r="B41" s="1291" t="s">
        <v>167</v>
      </c>
      <c r="C41" s="1291" t="s">
        <v>168</v>
      </c>
      <c r="D41" s="1291" t="s">
        <v>169</v>
      </c>
      <c r="E41" s="1285" t="s">
        <v>528</v>
      </c>
      <c r="F41" s="1285" t="s">
        <v>529</v>
      </c>
      <c r="G41" s="1285" t="s">
        <v>530</v>
      </c>
      <c r="H41" s="1285" t="s">
        <v>531</v>
      </c>
      <c r="I41" s="1285" t="s">
        <v>532</v>
      </c>
      <c r="J41" s="1285" t="s">
        <v>533</v>
      </c>
      <c r="K41" s="1285" t="s">
        <v>534</v>
      </c>
      <c r="L41" s="1285" t="s">
        <v>509</v>
      </c>
      <c r="Q41" s="314"/>
      <c r="R41" s="314"/>
      <c r="S41" s="5482"/>
      <c r="T41" s="5431"/>
      <c r="U41" s="240"/>
      <c r="V41" s="5455"/>
      <c r="W41" s="5479"/>
      <c r="X41" s="1143" t="s">
        <v>535</v>
      </c>
      <c r="Y41" s="1143" t="s">
        <v>536</v>
      </c>
      <c r="Z41" s="1259" t="s">
        <v>537</v>
      </c>
      <c r="AA41" s="5436" t="s">
        <v>538</v>
      </c>
      <c r="AB41" s="5449"/>
      <c r="AC41" s="5488"/>
      <c r="AD41" s="5455"/>
      <c r="AE41" s="5479"/>
      <c r="AF41" s="1143" t="s">
        <v>535</v>
      </c>
      <c r="AG41" s="1143" t="s">
        <v>536</v>
      </c>
      <c r="AH41" s="1259" t="s">
        <v>537</v>
      </c>
      <c r="AI41" s="5436" t="s">
        <v>538</v>
      </c>
      <c r="AJ41" s="5449"/>
      <c r="AK41" s="5488"/>
      <c r="AL41" s="5491"/>
      <c r="AM41" s="5328"/>
      <c r="AS41" s="1076">
        <v>34</v>
      </c>
    </row>
    <row r="42" spans="1:45" s="4299" customFormat="1" ht="11.25" hidden="1" customHeight="1">
      <c r="A42" s="1291"/>
      <c r="B42" s="1291"/>
      <c r="C42" s="1291"/>
      <c r="D42" s="1291"/>
      <c r="E42" s="1291"/>
      <c r="F42" s="1291"/>
      <c r="G42" s="1291"/>
      <c r="H42" s="1291"/>
      <c r="I42" s="1291"/>
      <c r="J42" s="1291"/>
      <c r="K42" s="1291"/>
      <c r="L42" s="1285"/>
      <c r="M42" s="1283"/>
      <c r="N42" s="1283"/>
      <c r="O42" s="1283"/>
      <c r="P42" s="1167"/>
      <c r="Q42" s="1168"/>
      <c r="R42" s="1175">
        <v>1</v>
      </c>
      <c r="S42" s="1198" t="s">
        <v>136</v>
      </c>
      <c r="T42" s="1176" t="s">
        <v>103</v>
      </c>
      <c r="U42" s="1166" t="str">
        <f ca="1">OFFSET(U42,0,-1)</f>
        <v>2</v>
      </c>
      <c r="V42" s="1256">
        <f ca="1">OFFSET(V42,0,-1)+1</f>
        <v>3</v>
      </c>
      <c r="W42" s="1256"/>
      <c r="X42" s="1256">
        <f ca="1">OFFSET(X42,0,-1)+1</f>
        <v>1</v>
      </c>
      <c r="Y42" s="1256">
        <f ca="1">OFFSET(Y42,0,-1)+1</f>
        <v>2</v>
      </c>
      <c r="Z42" s="1256">
        <f ca="1">OFFSET(Z42,0,-1)+1</f>
        <v>3</v>
      </c>
      <c r="AA42" s="5480">
        <f ca="1">OFFSET(AA42,0,-1)+1</f>
        <v>4</v>
      </c>
      <c r="AB42" s="5480"/>
      <c r="AC42" s="1256">
        <f ca="1">OFFSET(AC42,0,-2)+1</f>
        <v>5</v>
      </c>
      <c r="AD42" s="1256">
        <f ca="1">OFFSET(AD42,0,-1)+1</f>
        <v>6</v>
      </c>
      <c r="AE42" s="1256"/>
      <c r="AF42" s="1256">
        <f ca="1">OFFSET(AF42,0,-1)+1</f>
        <v>1</v>
      </c>
      <c r="AG42" s="1256">
        <f ca="1">OFFSET(AG42,0,-1)+1</f>
        <v>2</v>
      </c>
      <c r="AH42" s="1256">
        <f ca="1">OFFSET(AH42,0,-1)+1</f>
        <v>3</v>
      </c>
      <c r="AI42" s="5480">
        <f ca="1">OFFSET(AI42,0,-1)+1</f>
        <v>4</v>
      </c>
      <c r="AJ42" s="5480"/>
      <c r="AK42" s="1256">
        <f ca="1">OFFSET(AK42,0,-2)+1</f>
        <v>5</v>
      </c>
      <c r="AL42" s="1166">
        <f ca="1">OFFSET(AL42,0,-1)</f>
        <v>5</v>
      </c>
      <c r="AM42" s="1256">
        <f ca="1">OFFSET(AM42,0,-1)+1</f>
        <v>6</v>
      </c>
      <c r="AN42" s="449"/>
      <c r="AO42" s="449"/>
      <c r="AP42" s="449"/>
      <c r="AQ42" s="449"/>
      <c r="AR42" s="449"/>
      <c r="AS42" s="434">
        <v>0</v>
      </c>
    </row>
    <row r="43" spans="1:45" ht="21.95" customHeight="1">
      <c r="A43" s="1284" t="s">
        <v>199</v>
      </c>
      <c r="B43" s="1284"/>
      <c r="C43" s="1284"/>
      <c r="D43" s="1284"/>
      <c r="E43" s="5469">
        <v>1</v>
      </c>
      <c r="F43" s="1284"/>
      <c r="G43" s="1284"/>
      <c r="H43" s="1284"/>
      <c r="I43" s="1284"/>
      <c r="J43" s="1284"/>
      <c r="K43" s="1284"/>
      <c r="L43" s="1285"/>
      <c r="M43" s="1286"/>
      <c r="N43" s="1286"/>
      <c r="O43" s="1286"/>
      <c r="P43" s="299"/>
      <c r="Q43" s="298"/>
      <c r="R43" s="293"/>
      <c r="S43" s="1257">
        <f>INDEX(PT_DIFFERENTIATION_NUM_NTAR,MATCH(A43,PT_DIFFERENTIATION_NTAR_ID,0))</f>
        <v>0</v>
      </c>
      <c r="T43" s="236" t="s">
        <v>155</v>
      </c>
      <c r="U43" s="238"/>
      <c r="V43" s="5463"/>
      <c r="W43" s="5464"/>
      <c r="X43" s="5464"/>
      <c r="Y43" s="5464"/>
      <c r="Z43" s="5464"/>
      <c r="AA43" s="5464"/>
      <c r="AB43" s="5464"/>
      <c r="AC43" s="5465"/>
      <c r="AD43" s="5463" t="str">
        <f>INDEX(PT_DIFFERENTIATION_NTAR,MATCH(A43,PT_DIFFERENTIATION_NTAR_ID,0))</f>
        <v/>
      </c>
      <c r="AE43" s="5464"/>
      <c r="AF43" s="5464"/>
      <c r="AG43" s="5464"/>
      <c r="AH43" s="5464"/>
      <c r="AI43" s="5464"/>
      <c r="AJ43" s="5464"/>
      <c r="AK43" s="5464"/>
      <c r="AL43" s="5465"/>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76">
        <v>21</v>
      </c>
    </row>
    <row r="44" spans="1:45" ht="21.95" customHeight="1">
      <c r="A44" s="1284" t="s">
        <v>199</v>
      </c>
      <c r="B44" s="1284" t="s">
        <v>200</v>
      </c>
      <c r="C44" s="1284"/>
      <c r="D44" s="1284"/>
      <c r="E44" s="5470"/>
      <c r="F44" s="5469">
        <v>1</v>
      </c>
      <c r="G44" s="1284"/>
      <c r="H44" s="1284"/>
      <c r="I44" s="1284"/>
      <c r="J44" s="1284"/>
      <c r="K44" s="1284"/>
      <c r="L44" s="1285"/>
      <c r="M44" s="1286"/>
      <c r="N44" s="1286"/>
      <c r="O44" s="1286"/>
      <c r="P44" s="1253"/>
      <c r="Q44" s="290"/>
      <c r="R44" s="291"/>
      <c r="S44" s="1257" t="str">
        <f>INDEX(PT_DIFFERENTIATION_NUM_TER,MATCH(B44,PT_DIFFERENTIATION_TER_ID,0))</f>
        <v>.</v>
      </c>
      <c r="T44" s="246" t="s">
        <v>490</v>
      </c>
      <c r="U44" s="238"/>
      <c r="V44" s="5463"/>
      <c r="W44" s="5464"/>
      <c r="X44" s="5464"/>
      <c r="Y44" s="5464"/>
      <c r="Z44" s="5464"/>
      <c r="AA44" s="5464"/>
      <c r="AB44" s="5464"/>
      <c r="AC44" s="5465"/>
      <c r="AD44" s="5463" t="str">
        <f>INDEX(PT_DIFFERENTIATION_TER,MATCH(B44,PT_DIFFERENTIATION_TER_ID,0))</f>
        <v/>
      </c>
      <c r="AE44" s="5464"/>
      <c r="AF44" s="5464"/>
      <c r="AG44" s="5464"/>
      <c r="AH44" s="5464"/>
      <c r="AI44" s="5464"/>
      <c r="AJ44" s="5464"/>
      <c r="AK44" s="5464"/>
      <c r="AL44" s="5465"/>
      <c r="AM44" s="1179" t="s">
        <v>491</v>
      </c>
      <c r="AO44" s="438"/>
      <c r="AP44" s="438" t="str">
        <f t="shared" si="1"/>
        <v>Территория действия тарифа</v>
      </c>
      <c r="AQ44" s="438"/>
      <c r="AR44" s="438"/>
      <c r="AS44" s="1076">
        <v>21</v>
      </c>
    </row>
    <row r="45" spans="1:45" ht="24" customHeight="1">
      <c r="A45" s="1284" t="s">
        <v>199</v>
      </c>
      <c r="B45" s="1284" t="s">
        <v>200</v>
      </c>
      <c r="C45" s="1284" t="s">
        <v>201</v>
      </c>
      <c r="D45" s="1284"/>
      <c r="E45" s="5470"/>
      <c r="F45" s="5470"/>
      <c r="G45" s="5469">
        <v>1</v>
      </c>
      <c r="H45" s="1284"/>
      <c r="I45" s="1284"/>
      <c r="J45" s="1284"/>
      <c r="K45" s="1284"/>
      <c r="L45" s="1285"/>
      <c r="M45" s="1286"/>
      <c r="N45" s="1286"/>
      <c r="O45" s="1286"/>
      <c r="P45" s="292"/>
      <c r="Q45" s="290"/>
      <c r="R45" s="291"/>
      <c r="S45" s="1257" t="str">
        <f>INDEX(PT_DIFFERENTIATION_NUM_CS,MATCH(C45,PT_DIFFERENTIATION_CS_ID,0))</f>
        <v>..</v>
      </c>
      <c r="T45" s="247" t="s">
        <v>492</v>
      </c>
      <c r="U45" s="238"/>
      <c r="V45" s="5463"/>
      <c r="W45" s="5464"/>
      <c r="X45" s="5464"/>
      <c r="Y45" s="5464"/>
      <c r="Z45" s="5464"/>
      <c r="AA45" s="5464"/>
      <c r="AB45" s="5464"/>
      <c r="AC45" s="5465"/>
      <c r="AD45" s="5463" t="str">
        <f>INDEX(PT_DIFFERENTIATION_CS,MATCH(C45,PT_DIFFERENTIATION_CS_ID,0))</f>
        <v/>
      </c>
      <c r="AE45" s="5464"/>
      <c r="AF45" s="5464"/>
      <c r="AG45" s="5464"/>
      <c r="AH45" s="5464"/>
      <c r="AI45" s="5464"/>
      <c r="AJ45" s="5464"/>
      <c r="AK45" s="5464"/>
      <c r="AL45" s="5465"/>
      <c r="AM45" s="1179" t="s">
        <v>493</v>
      </c>
      <c r="AO45" s="438"/>
      <c r="AP45" s="438" t="str">
        <f t="shared" si="1"/>
        <v xml:space="preserve">Наименование системы теплоснабжения </v>
      </c>
      <c r="AQ45" s="438"/>
      <c r="AR45" s="438"/>
      <c r="AS45" s="1076">
        <v>23</v>
      </c>
    </row>
    <row r="46" spans="1:45" ht="21.95" customHeight="1">
      <c r="A46" s="1284" t="s">
        <v>199</v>
      </c>
      <c r="B46" s="1284" t="s">
        <v>200</v>
      </c>
      <c r="C46" s="1284" t="s">
        <v>201</v>
      </c>
      <c r="D46" s="1284" t="s">
        <v>202</v>
      </c>
      <c r="E46" s="5470"/>
      <c r="F46" s="5470"/>
      <c r="G46" s="5470"/>
      <c r="H46" s="5469">
        <v>1</v>
      </c>
      <c r="I46" s="1284"/>
      <c r="J46" s="1284"/>
      <c r="K46" s="1284"/>
      <c r="L46" s="1285"/>
      <c r="M46" s="1286"/>
      <c r="N46" s="1286"/>
      <c r="O46" s="1286"/>
      <c r="P46" s="292"/>
      <c r="Q46" s="290"/>
      <c r="R46" s="291"/>
      <c r="S46" s="1257" t="str">
        <f>INDEX(PT_DIFFERENTIATION_NUM_IST_TE,MATCH(D46,PT_DIFFERENTIATION_IST_TE_ID,0))</f>
        <v>...</v>
      </c>
      <c r="T46" s="248" t="s">
        <v>494</v>
      </c>
      <c r="U46" s="238"/>
      <c r="V46" s="5463"/>
      <c r="W46" s="5464"/>
      <c r="X46" s="5464"/>
      <c r="Y46" s="5464"/>
      <c r="Z46" s="5464"/>
      <c r="AA46" s="5464"/>
      <c r="AB46" s="5464"/>
      <c r="AC46" s="5465"/>
      <c r="AD46" s="5463" t="str">
        <f>INDEX(PT_DIFFERENTIATION_IST_TE,MATCH(D46,PT_DIFFERENTIATION_IST_TE_ID,0))</f>
        <v/>
      </c>
      <c r="AE46" s="5464"/>
      <c r="AF46" s="5464"/>
      <c r="AG46" s="5464"/>
      <c r="AH46" s="5464"/>
      <c r="AI46" s="5464"/>
      <c r="AJ46" s="5464"/>
      <c r="AK46" s="5464"/>
      <c r="AL46" s="5465"/>
      <c r="AM46" s="1179" t="s">
        <v>495</v>
      </c>
      <c r="AO46" s="438"/>
      <c r="AP46" s="438" t="str">
        <f t="shared" si="1"/>
        <v xml:space="preserve">Источник тепловой энергии  </v>
      </c>
      <c r="AQ46" s="438"/>
      <c r="AR46" s="438"/>
      <c r="AS46" s="1076">
        <v>21</v>
      </c>
    </row>
    <row r="47" spans="1:45" s="4275" customFormat="1" ht="0" hidden="1" customHeight="1">
      <c r="A47" s="1264" t="s">
        <v>199</v>
      </c>
      <c r="B47" s="1264" t="s">
        <v>200</v>
      </c>
      <c r="C47" s="1264" t="s">
        <v>201</v>
      </c>
      <c r="D47" s="1264" t="s">
        <v>202</v>
      </c>
      <c r="E47" s="5470"/>
      <c r="F47" s="5470"/>
      <c r="G47" s="5470"/>
      <c r="H47" s="5470"/>
      <c r="I47" s="5471" t="str">
        <f>S46&amp;".1"</f>
        <v>....1</v>
      </c>
      <c r="J47" s="1264"/>
      <c r="K47" s="1264"/>
      <c r="L47" s="1267" t="s">
        <v>496</v>
      </c>
      <c r="M47" s="448"/>
      <c r="N47" s="448"/>
      <c r="O47" s="448"/>
      <c r="P47" s="5473">
        <v>1</v>
      </c>
      <c r="Q47" s="1252"/>
      <c r="R47" s="294"/>
      <c r="S47" s="967"/>
      <c r="T47" s="1304"/>
      <c r="U47" s="1305"/>
      <c r="V47" s="5500"/>
      <c r="W47" s="5501"/>
      <c r="X47" s="5501"/>
      <c r="Y47" s="5501"/>
      <c r="Z47" s="5501"/>
      <c r="AA47" s="5501"/>
      <c r="AB47" s="5501"/>
      <c r="AC47" s="5502"/>
      <c r="AD47" s="5500"/>
      <c r="AE47" s="5501"/>
      <c r="AF47" s="5501"/>
      <c r="AG47" s="5501"/>
      <c r="AH47" s="5501"/>
      <c r="AI47" s="5501"/>
      <c r="AJ47" s="5501"/>
      <c r="AK47" s="5501"/>
      <c r="AL47" s="5502"/>
      <c r="AM47" s="1306"/>
      <c r="AO47" s="438"/>
      <c r="AP47" s="438" t="str">
        <f t="shared" si="1"/>
        <v/>
      </c>
      <c r="AQ47" s="438"/>
      <c r="AR47" s="438"/>
      <c r="AS47" s="449">
        <v>0</v>
      </c>
    </row>
    <row r="48" spans="1:45" ht="21.95" customHeight="1">
      <c r="A48" s="1284" t="s">
        <v>199</v>
      </c>
      <c r="B48" s="1284" t="s">
        <v>200</v>
      </c>
      <c r="C48" s="1284" t="s">
        <v>201</v>
      </c>
      <c r="D48" s="1284" t="s">
        <v>202</v>
      </c>
      <c r="E48" s="5470"/>
      <c r="F48" s="5470"/>
      <c r="G48" s="5470"/>
      <c r="H48" s="5470"/>
      <c r="I48" s="5472"/>
      <c r="J48" s="5471" t="str">
        <f>S46&amp;".1"</f>
        <v>....1</v>
      </c>
      <c r="K48" s="1284"/>
      <c r="L48" s="1285" t="s">
        <v>499</v>
      </c>
      <c r="P48" s="5473"/>
      <c r="Q48" s="5473">
        <v>1</v>
      </c>
      <c r="R48" s="295"/>
      <c r="S48" s="1257" t="str">
        <f>$J48</f>
        <v>....1</v>
      </c>
      <c r="T48" s="224" t="s">
        <v>500</v>
      </c>
      <c r="U48" s="238"/>
      <c r="V48" s="5457"/>
      <c r="W48" s="5458"/>
      <c r="X48" s="5458"/>
      <c r="Y48" s="5458"/>
      <c r="Z48" s="5458"/>
      <c r="AA48" s="5458"/>
      <c r="AB48" s="5458"/>
      <c r="AC48" s="5459"/>
      <c r="AD48" s="5457"/>
      <c r="AE48" s="5458"/>
      <c r="AF48" s="5458"/>
      <c r="AG48" s="5458"/>
      <c r="AH48" s="5458"/>
      <c r="AI48" s="5458"/>
      <c r="AJ48" s="5458"/>
      <c r="AK48" s="5458"/>
      <c r="AL48" s="5459"/>
      <c r="AM48" s="1179" t="s">
        <v>501</v>
      </c>
      <c r="AO48" s="438"/>
      <c r="AP48" s="438" t="str">
        <f t="shared" si="1"/>
        <v>Группа потребителей</v>
      </c>
      <c r="AQ48" s="438"/>
      <c r="AR48" s="438"/>
      <c r="AS48" s="1076">
        <v>21</v>
      </c>
    </row>
    <row r="49" spans="1:45" ht="21.95" customHeight="1">
      <c r="A49" s="1284" t="s">
        <v>199</v>
      </c>
      <c r="B49" s="1284" t="s">
        <v>200</v>
      </c>
      <c r="C49" s="1284" t="s">
        <v>201</v>
      </c>
      <c r="D49" s="1284" t="s">
        <v>202</v>
      </c>
      <c r="E49" s="5470"/>
      <c r="F49" s="5470"/>
      <c r="G49" s="5470"/>
      <c r="H49" s="5470"/>
      <c r="I49" s="5472"/>
      <c r="J49" s="5472"/>
      <c r="K49" s="5471" t="str">
        <f>J48&amp;".1"</f>
        <v>....1.1</v>
      </c>
      <c r="L49" s="1285" t="s">
        <v>502</v>
      </c>
      <c r="P49" s="5473"/>
      <c r="Q49" s="5473"/>
      <c r="R49" s="295">
        <v>1</v>
      </c>
      <c r="S49" s="1257" t="str">
        <f>$K49</f>
        <v>....1.1</v>
      </c>
      <c r="T49" s="1268"/>
      <c r="U49" s="238"/>
      <c r="V49" s="689"/>
      <c r="W49" s="263"/>
      <c r="X49" s="689"/>
      <c r="Y49" s="1178"/>
      <c r="Z49" s="5474"/>
      <c r="AA49" s="5338" t="s">
        <v>66</v>
      </c>
      <c r="AB49" s="5474"/>
      <c r="AC49" s="5338" t="s">
        <v>66</v>
      </c>
      <c r="AD49" s="689"/>
      <c r="AE49" s="263"/>
      <c r="AF49" s="689"/>
      <c r="AG49" s="1178"/>
      <c r="AH49" s="5474"/>
      <c r="AI49" s="5338" t="s">
        <v>66</v>
      </c>
      <c r="AJ49" s="5476"/>
      <c r="AK49" s="5338" t="s">
        <v>66</v>
      </c>
      <c r="AL49" s="1269"/>
      <c r="AM49" s="5492" t="s">
        <v>541</v>
      </c>
      <c r="AN49" s="449" t="e">
        <f ca="1">STRCHECKDATE(V50:AL50)</f>
        <v>#NAME?</v>
      </c>
      <c r="AO49" s="438"/>
      <c r="AP49" s="438" t="str">
        <f t="shared" si="1"/>
        <v/>
      </c>
      <c r="AQ49" s="438"/>
      <c r="AR49" s="438"/>
      <c r="AS49" s="1076">
        <v>21</v>
      </c>
    </row>
    <row r="50" spans="1:45" ht="1.1499999999999999" customHeight="1">
      <c r="A50" s="1284" t="s">
        <v>199</v>
      </c>
      <c r="B50" s="1284" t="s">
        <v>200</v>
      </c>
      <c r="C50" s="1284" t="s">
        <v>201</v>
      </c>
      <c r="D50" s="1284" t="s">
        <v>202</v>
      </c>
      <c r="E50" s="5470"/>
      <c r="F50" s="5470"/>
      <c r="G50" s="5470"/>
      <c r="H50" s="5470"/>
      <c r="I50" s="5472"/>
      <c r="J50" s="5472"/>
      <c r="K50" s="5471"/>
      <c r="L50" s="1285"/>
      <c r="P50" s="5473"/>
      <c r="Q50" s="5473"/>
      <c r="R50" s="295"/>
      <c r="S50" s="1263"/>
      <c r="T50" s="238"/>
      <c r="U50" s="238"/>
      <c r="V50" s="263"/>
      <c r="W50" s="263"/>
      <c r="X50" s="263"/>
      <c r="Y50" s="266" t="str">
        <f>Z49&amp;"-"&amp;AB49</f>
        <v>-</v>
      </c>
      <c r="Z50" s="5475"/>
      <c r="AA50" s="5338"/>
      <c r="AB50" s="5475"/>
      <c r="AC50" s="5338"/>
      <c r="AD50" s="263"/>
      <c r="AE50" s="263"/>
      <c r="AF50" s="263"/>
      <c r="AG50" s="266" t="str">
        <f>AH49&amp;"-"&amp;AJ49</f>
        <v>-</v>
      </c>
      <c r="AH50" s="5475"/>
      <c r="AI50" s="5338"/>
      <c r="AJ50" s="5477"/>
      <c r="AK50" s="5338"/>
      <c r="AL50" s="1270"/>
      <c r="AM50" s="5493"/>
      <c r="AO50" s="438"/>
      <c r="AP50" s="438" t="str">
        <f t="shared" si="1"/>
        <v/>
      </c>
      <c r="AQ50" s="438"/>
      <c r="AR50" s="438"/>
      <c r="AS50" s="1076">
        <v>1</v>
      </c>
    </row>
    <row r="51" spans="1:45" ht="11.45" customHeight="1">
      <c r="A51" s="1284" t="s">
        <v>199</v>
      </c>
      <c r="B51" s="1284" t="s">
        <v>200</v>
      </c>
      <c r="C51" s="1284" t="s">
        <v>201</v>
      </c>
      <c r="D51" s="1284" t="s">
        <v>202</v>
      </c>
      <c r="E51" s="5470"/>
      <c r="F51" s="5470"/>
      <c r="G51" s="5470"/>
      <c r="H51" s="5470"/>
      <c r="I51" s="5472"/>
      <c r="J51" s="5471"/>
      <c r="K51" s="1284"/>
      <c r="L51" s="1285"/>
      <c r="P51" s="5473"/>
      <c r="Q51" s="5473"/>
      <c r="R51" s="294"/>
      <c r="S51" s="1199"/>
      <c r="T51" s="225" t="s">
        <v>504</v>
      </c>
      <c r="U51" s="305"/>
      <c r="V51" s="305"/>
      <c r="W51" s="305"/>
      <c r="X51" s="305"/>
      <c r="Y51" s="305"/>
      <c r="Z51" s="305"/>
      <c r="AA51" s="305"/>
      <c r="AB51" s="305"/>
      <c r="AC51" s="305"/>
      <c r="AD51" s="305"/>
      <c r="AE51" s="305"/>
      <c r="AF51" s="305"/>
      <c r="AG51" s="305"/>
      <c r="AH51" s="305"/>
      <c r="AI51" s="305"/>
      <c r="AJ51" s="305"/>
      <c r="AK51" s="305"/>
      <c r="AL51" s="262"/>
      <c r="AM51" s="5494"/>
      <c r="AO51" s="438"/>
      <c r="AP51" s="438" t="str">
        <f t="shared" si="1"/>
        <v>Добавить вид теплоносителя (параметры теплоносителя)</v>
      </c>
      <c r="AQ51" s="438"/>
      <c r="AR51" s="438"/>
      <c r="AS51" s="1076">
        <v>11</v>
      </c>
    </row>
    <row r="52" spans="1:45" ht="11.45" customHeight="1">
      <c r="A52" s="1284" t="s">
        <v>199</v>
      </c>
      <c r="B52" s="1284" t="s">
        <v>200</v>
      </c>
      <c r="C52" s="1284" t="s">
        <v>201</v>
      </c>
      <c r="D52" s="1284" t="s">
        <v>202</v>
      </c>
      <c r="E52" s="5470"/>
      <c r="F52" s="5470"/>
      <c r="G52" s="5470"/>
      <c r="H52" s="5470"/>
      <c r="I52" s="5471"/>
      <c r="J52" s="1284"/>
      <c r="K52" s="1284"/>
      <c r="L52" s="1285"/>
      <c r="P52" s="5473"/>
      <c r="Q52" s="1252"/>
      <c r="R52" s="294"/>
      <c r="S52" s="1199"/>
      <c r="T52" s="303" t="s">
        <v>505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76">
        <v>11</v>
      </c>
    </row>
    <row r="53" spans="1:45" ht="0" hidden="1" customHeight="1">
      <c r="A53" s="1284" t="s">
        <v>199</v>
      </c>
      <c r="B53" s="1284" t="s">
        <v>200</v>
      </c>
      <c r="C53" s="1284" t="s">
        <v>201</v>
      </c>
      <c r="D53" s="1284" t="s">
        <v>202</v>
      </c>
      <c r="E53" s="5470"/>
      <c r="F53" s="5470"/>
      <c r="G53" s="5470"/>
      <c r="H53" s="5469"/>
      <c r="I53" s="1284"/>
      <c r="J53" s="1284"/>
      <c r="K53" s="1284"/>
      <c r="L53" s="1285"/>
      <c r="M53" s="1286"/>
      <c r="N53" s="1286"/>
      <c r="O53" s="475"/>
      <c r="P53" s="298"/>
      <c r="Q53" s="313"/>
      <c r="R53" s="293"/>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38"/>
      <c r="AP53" s="438" t="str">
        <f t="shared" si="1"/>
        <v/>
      </c>
      <c r="AQ53" s="438"/>
      <c r="AR53" s="438"/>
      <c r="AS53" s="1076">
        <v>0</v>
      </c>
    </row>
    <row r="54" spans="1:45" s="4275" customFormat="1" ht="1.1499999999999999" customHeight="1">
      <c r="A54" s="1264" t="s">
        <v>199</v>
      </c>
      <c r="B54" s="1264" t="s">
        <v>200</v>
      </c>
      <c r="C54" s="1264" t="s">
        <v>201</v>
      </c>
      <c r="D54" s="1235"/>
      <c r="E54" s="5470"/>
      <c r="F54" s="5470"/>
      <c r="G54" s="5469"/>
      <c r="H54" s="1235"/>
      <c r="I54" s="1235"/>
      <c r="J54" s="1235"/>
      <c r="K54" s="1235"/>
      <c r="L54" s="1260"/>
      <c r="M54" s="1236"/>
      <c r="N54" s="1236"/>
      <c r="P54" s="1237"/>
      <c r="Q54" s="1238"/>
      <c r="R54" s="1237"/>
      <c r="S54" s="1243"/>
      <c r="T54" s="1246" t="s">
        <v>507</v>
      </c>
      <c r="U54" s="1245"/>
      <c r="V54" s="1245"/>
      <c r="W54" s="1245"/>
      <c r="X54" s="1245"/>
      <c r="Y54" s="1245"/>
      <c r="Z54" s="1245"/>
      <c r="AA54" s="1245"/>
      <c r="AB54" s="1245"/>
      <c r="AC54" s="1245"/>
      <c r="AD54" s="1245"/>
      <c r="AE54" s="1245"/>
      <c r="AF54" s="1245"/>
      <c r="AG54" s="1245"/>
      <c r="AH54" s="1245"/>
      <c r="AI54" s="1245"/>
      <c r="AJ54" s="1245"/>
      <c r="AK54" s="1245"/>
      <c r="AL54" s="1245"/>
      <c r="AM54" s="1245"/>
      <c r="AO54" s="721"/>
      <c r="AP54" s="721" t="str">
        <f t="shared" si="1"/>
        <v>Добавить источник для дифференциации</v>
      </c>
      <c r="AQ54" s="721"/>
      <c r="AR54" s="721"/>
      <c r="AS54" s="456">
        <v>1</v>
      </c>
    </row>
    <row r="55" spans="1:45" s="4275" customFormat="1" ht="1.1499999999999999" customHeight="1">
      <c r="A55" s="1264" t="s">
        <v>199</v>
      </c>
      <c r="B55" s="1264" t="s">
        <v>200</v>
      </c>
      <c r="C55" s="1235"/>
      <c r="D55" s="1235"/>
      <c r="E55" s="5470"/>
      <c r="F55" s="5469"/>
      <c r="G55" s="1235"/>
      <c r="H55" s="1235"/>
      <c r="I55" s="1235"/>
      <c r="J55" s="1235"/>
      <c r="K55" s="1235"/>
      <c r="L55" s="1260"/>
      <c r="M55" s="1242"/>
      <c r="N55" s="1242"/>
      <c r="P55" s="1237"/>
      <c r="Q55" s="1238"/>
      <c r="R55" s="1237"/>
      <c r="S55" s="1243"/>
      <c r="T55" s="1246" t="s">
        <v>312</v>
      </c>
      <c r="U55" s="1245"/>
      <c r="V55" s="1245"/>
      <c r="W55" s="1245"/>
      <c r="X55" s="1245"/>
      <c r="Y55" s="1245"/>
      <c r="Z55" s="1245"/>
      <c r="AA55" s="1245"/>
      <c r="AB55" s="1245"/>
      <c r="AC55" s="1245"/>
      <c r="AD55" s="1245"/>
      <c r="AE55" s="1245"/>
      <c r="AF55" s="1245"/>
      <c r="AG55" s="1245"/>
      <c r="AH55" s="1245"/>
      <c r="AI55" s="1245"/>
      <c r="AJ55" s="1245"/>
      <c r="AK55" s="1245"/>
      <c r="AL55" s="1245"/>
      <c r="AM55" s="1245"/>
      <c r="AO55" s="721"/>
      <c r="AP55" s="721" t="str">
        <f t="shared" si="1"/>
        <v>Добавить централизованную систему для дифференциации</v>
      </c>
      <c r="AQ55" s="721"/>
      <c r="AR55" s="721"/>
      <c r="AS55" s="456">
        <v>1</v>
      </c>
    </row>
    <row r="56" spans="1:45" s="4275" customFormat="1" ht="1.1499999999999999" customHeight="1">
      <c r="A56" s="1264" t="s">
        <v>199</v>
      </c>
      <c r="B56" s="1264"/>
      <c r="C56" s="1264"/>
      <c r="D56" s="1264"/>
      <c r="E56" s="5469"/>
      <c r="F56" s="1264"/>
      <c r="G56" s="1264"/>
      <c r="H56" s="1264"/>
      <c r="I56" s="1264"/>
      <c r="J56" s="1264"/>
      <c r="K56" s="1264"/>
      <c r="L56" s="1267"/>
      <c r="M56" s="1242"/>
      <c r="N56" s="1242"/>
      <c r="O56" s="456"/>
      <c r="P56" s="318"/>
      <c r="Q56" s="1265"/>
      <c r="R56" s="318"/>
      <c r="S56" s="1243"/>
      <c r="T56" s="1246" t="s">
        <v>360</v>
      </c>
      <c r="U56" s="1245"/>
      <c r="V56" s="1245"/>
      <c r="W56" s="1245"/>
      <c r="X56" s="1245"/>
      <c r="Y56" s="1245"/>
      <c r="Z56" s="1245"/>
      <c r="AA56" s="1245"/>
      <c r="AB56" s="1245"/>
      <c r="AC56" s="1245"/>
      <c r="AD56" s="1245"/>
      <c r="AE56" s="1245"/>
      <c r="AF56" s="1245"/>
      <c r="AG56" s="1245"/>
      <c r="AH56" s="1245"/>
      <c r="AI56" s="1245"/>
      <c r="AJ56" s="1245"/>
      <c r="AK56" s="1245"/>
      <c r="AL56" s="1245"/>
      <c r="AM56" s="1245"/>
      <c r="AO56" s="438"/>
      <c r="AP56" s="438" t="str">
        <f t="shared" si="1"/>
        <v>Добавить территорию для дифференциации</v>
      </c>
      <c r="AQ56" s="438"/>
      <c r="AR56" s="438"/>
      <c r="AS56" s="449">
        <v>1</v>
      </c>
    </row>
    <row r="57" spans="1:45" s="4275" customFormat="1" ht="1.1499999999999999" customHeight="1">
      <c r="A57" s="1235"/>
      <c r="B57" s="1235"/>
      <c r="C57" s="1235"/>
      <c r="D57" s="1235"/>
      <c r="E57" s="1264"/>
      <c r="F57" s="1235"/>
      <c r="G57" s="1235"/>
      <c r="H57" s="1235"/>
      <c r="I57" s="1235"/>
      <c r="J57" s="1235"/>
      <c r="K57" s="1235"/>
      <c r="L57" s="1260"/>
      <c r="M57" s="1242"/>
      <c r="N57" s="1242"/>
      <c r="P57" s="1237"/>
      <c r="Q57" s="1238"/>
      <c r="R57" s="1237"/>
      <c r="S57" s="1243"/>
      <c r="T57" s="1246" t="s">
        <v>361</v>
      </c>
      <c r="U57" s="1245"/>
      <c r="V57" s="1245"/>
      <c r="W57" s="1245"/>
      <c r="X57" s="1245"/>
      <c r="Y57" s="1245"/>
      <c r="Z57" s="1245"/>
      <c r="AA57" s="1245"/>
      <c r="AB57" s="1245"/>
      <c r="AC57" s="1245"/>
      <c r="AD57" s="1245"/>
      <c r="AE57" s="1245"/>
      <c r="AF57" s="1245"/>
      <c r="AG57" s="1245"/>
      <c r="AH57" s="1245"/>
      <c r="AI57" s="1245"/>
      <c r="AJ57" s="1245"/>
      <c r="AK57" s="1245"/>
      <c r="AL57" s="1245"/>
      <c r="AM57" s="1245"/>
      <c r="AO57" s="721"/>
      <c r="AP57" s="721" t="str">
        <f t="shared" si="1"/>
        <v>Добавить наименование тарифа</v>
      </c>
      <c r="AQ57" s="721"/>
      <c r="AR57" s="721"/>
      <c r="AS57" s="456">
        <v>1</v>
      </c>
    </row>
    <row r="58" spans="1:45" ht="11.45" customHeight="1">
      <c r="M58" s="1081"/>
      <c r="N58" s="1081"/>
      <c r="O58" s="475"/>
      <c r="P58" s="1076"/>
      <c r="Q58" s="1076"/>
      <c r="R58" s="1076"/>
      <c r="S58" s="1076"/>
      <c r="AN58" s="1076"/>
      <c r="AO58" s="1076"/>
      <c r="AP58" s="1076"/>
      <c r="AQ58" s="1076"/>
      <c r="AR58" s="1076"/>
      <c r="AS58" s="1076">
        <v>11</v>
      </c>
    </row>
    <row r="59" spans="1:45" ht="19.899999999999999" customHeight="1">
      <c r="O59" s="475"/>
      <c r="S59" s="1174"/>
      <c r="T59" s="5468"/>
      <c r="U59" s="5468"/>
      <c r="V59" s="5468"/>
      <c r="W59" s="5468"/>
      <c r="X59" s="5468"/>
      <c r="Y59" s="5468"/>
      <c r="Z59" s="5468"/>
      <c r="AA59" s="5468"/>
      <c r="AB59" s="5468"/>
      <c r="AC59" s="5468"/>
      <c r="AD59" s="5468"/>
      <c r="AE59" s="5468"/>
      <c r="AF59" s="5468"/>
      <c r="AG59" s="5468"/>
      <c r="AH59" s="5468"/>
      <c r="AI59" s="5468"/>
      <c r="AJ59" s="5468"/>
      <c r="AK59" s="5468"/>
      <c r="AL59" s="5468"/>
      <c r="AM59" s="5468"/>
      <c r="AS59" s="1076">
        <v>19</v>
      </c>
    </row>
    <row r="60" spans="1:45" ht="29.25" customHeight="1">
      <c r="O60" s="475"/>
      <c r="T60" s="5468"/>
      <c r="U60" s="5468"/>
      <c r="V60" s="5468"/>
      <c r="W60" s="5468"/>
      <c r="X60" s="5468"/>
      <c r="Y60" s="5468"/>
      <c r="Z60" s="5468"/>
      <c r="AA60" s="5468"/>
      <c r="AB60" s="5468"/>
      <c r="AC60" s="5468"/>
      <c r="AD60" s="5468"/>
      <c r="AE60" s="5468"/>
      <c r="AF60" s="5468"/>
      <c r="AG60" s="5468"/>
      <c r="AH60" s="5468"/>
      <c r="AI60" s="5468"/>
      <c r="AJ60" s="5468"/>
      <c r="AK60" s="5468"/>
      <c r="AL60" s="5468"/>
      <c r="AM60" s="5468"/>
      <c r="AS60" s="1076">
        <v>28</v>
      </c>
    </row>
    <row r="61" spans="1:45" ht="42" customHeight="1">
      <c r="O61" s="475"/>
      <c r="T61" s="5468"/>
      <c r="U61" s="5468"/>
      <c r="V61" s="5468"/>
      <c r="W61" s="5468"/>
      <c r="X61" s="5468"/>
      <c r="Y61" s="5468"/>
      <c r="Z61" s="5468"/>
      <c r="AA61" s="5468"/>
      <c r="AB61" s="5468"/>
      <c r="AC61" s="5468"/>
      <c r="AD61" s="5468"/>
      <c r="AE61" s="5468"/>
      <c r="AF61" s="5468"/>
      <c r="AG61" s="5468"/>
      <c r="AH61" s="5468"/>
      <c r="AI61" s="5468"/>
      <c r="AJ61" s="5468"/>
      <c r="AK61" s="5468"/>
      <c r="AL61" s="5468"/>
      <c r="AM61" s="5468"/>
      <c r="AS61" s="1076">
        <v>40</v>
      </c>
    </row>
    <row r="62" spans="1:45" ht="14.65" customHeight="1">
      <c r="O62" s="475"/>
      <c r="AS62" s="1076">
        <v>14</v>
      </c>
    </row>
    <row r="63" spans="1:45" ht="21" customHeight="1">
      <c r="O63" s="475"/>
      <c r="S63" s="1174"/>
      <c r="T63" s="5373"/>
      <c r="U63" s="5468"/>
      <c r="V63" s="5468"/>
      <c r="W63" s="5468"/>
      <c r="X63" s="5468"/>
      <c r="Y63" s="5468"/>
      <c r="Z63" s="5468"/>
      <c r="AA63" s="5468"/>
      <c r="AB63" s="5468"/>
      <c r="AC63" s="5468"/>
      <c r="AD63" s="5468"/>
      <c r="AE63" s="5468"/>
      <c r="AF63" s="5468"/>
      <c r="AG63" s="5468"/>
      <c r="AH63" s="5468"/>
      <c r="AI63" s="5468"/>
      <c r="AJ63" s="5468"/>
      <c r="AK63" s="5468"/>
      <c r="AL63" s="5468"/>
      <c r="AM63" s="5468"/>
      <c r="AS63" s="1076">
        <v>20</v>
      </c>
    </row>
    <row r="64" spans="1:45" ht="29.25" customHeight="1">
      <c r="O64" s="475"/>
      <c r="T64" s="5468"/>
      <c r="U64" s="5468"/>
      <c r="V64" s="5468"/>
      <c r="W64" s="5468"/>
      <c r="X64" s="5468"/>
      <c r="Y64" s="5468"/>
      <c r="Z64" s="5468"/>
      <c r="AA64" s="5468"/>
      <c r="AB64" s="5468"/>
      <c r="AC64" s="5468"/>
      <c r="AD64" s="5468"/>
      <c r="AE64" s="5468"/>
      <c r="AF64" s="5468"/>
      <c r="AG64" s="5468"/>
      <c r="AH64" s="5468"/>
      <c r="AI64" s="5468"/>
      <c r="AJ64" s="5468"/>
      <c r="AK64" s="5468"/>
      <c r="AL64" s="5468"/>
      <c r="AM64" s="5468"/>
      <c r="AS64" s="1076">
        <v>28</v>
      </c>
    </row>
    <row r="65" spans="1:45" ht="35.65" customHeight="1">
      <c r="T65" s="5468"/>
      <c r="U65" s="5468"/>
      <c r="V65" s="5468"/>
      <c r="W65" s="5468"/>
      <c r="X65" s="5468"/>
      <c r="Y65" s="5468"/>
      <c r="Z65" s="5468"/>
      <c r="AA65" s="5468"/>
      <c r="AB65" s="5468"/>
      <c r="AC65" s="5468"/>
      <c r="AD65" s="5468"/>
      <c r="AE65" s="5468"/>
      <c r="AF65" s="5468"/>
      <c r="AG65" s="5468"/>
      <c r="AH65" s="5468"/>
      <c r="AI65" s="5468"/>
      <c r="AJ65" s="5468"/>
      <c r="AK65" s="5468"/>
      <c r="AL65" s="5468"/>
      <c r="AM65" s="5468"/>
      <c r="AS65" s="1076">
        <v>34</v>
      </c>
    </row>
    <row r="66" spans="1:45" ht="22.5" hidden="1" customHeight="1">
      <c r="A66" s="1081" t="s">
        <v>82</v>
      </c>
      <c r="B66" s="1081">
        <v>0</v>
      </c>
      <c r="C66" s="1081">
        <v>0</v>
      </c>
      <c r="D66" s="1081">
        <v>0</v>
      </c>
      <c r="E66" s="1081">
        <v>0</v>
      </c>
      <c r="F66" s="1081">
        <v>0</v>
      </c>
      <c r="G66" s="1081">
        <v>0</v>
      </c>
      <c r="H66" s="1081">
        <v>0</v>
      </c>
      <c r="I66" s="1081">
        <v>0</v>
      </c>
      <c r="J66" s="1081">
        <v>0</v>
      </c>
      <c r="K66" s="1081">
        <v>0</v>
      </c>
      <c r="L66" s="1250">
        <v>0</v>
      </c>
      <c r="M66" s="1283">
        <v>0</v>
      </c>
      <c r="N66" s="1283">
        <v>0</v>
      </c>
      <c r="O66" s="1283">
        <v>0</v>
      </c>
      <c r="P66" s="1249">
        <v>0</v>
      </c>
      <c r="Q66" s="282">
        <v>3</v>
      </c>
      <c r="R66" s="282">
        <v>3</v>
      </c>
      <c r="S66" s="519">
        <v>12</v>
      </c>
      <c r="T66" s="1076">
        <v>31</v>
      </c>
      <c r="U66" s="1076">
        <v>0</v>
      </c>
      <c r="V66" s="1076">
        <v>0</v>
      </c>
      <c r="W66" s="1076">
        <v>0</v>
      </c>
      <c r="X66" s="1076">
        <v>0</v>
      </c>
      <c r="Y66" s="1076">
        <v>0</v>
      </c>
      <c r="Z66" s="1076">
        <v>0</v>
      </c>
      <c r="AA66" s="1076">
        <v>0</v>
      </c>
      <c r="AB66" s="1076">
        <v>0</v>
      </c>
      <c r="AC66" s="1076">
        <v>0</v>
      </c>
      <c r="AD66" s="1076">
        <v>24</v>
      </c>
      <c r="AE66" s="1076">
        <v>0</v>
      </c>
      <c r="AF66" s="1076">
        <v>24</v>
      </c>
      <c r="AG66" s="1076">
        <v>24</v>
      </c>
      <c r="AH66" s="1076">
        <v>11</v>
      </c>
      <c r="AI66" s="1076">
        <v>3</v>
      </c>
      <c r="AJ66" s="1076">
        <v>11</v>
      </c>
      <c r="AK66" s="1076">
        <v>0</v>
      </c>
      <c r="AL66" s="1076">
        <v>4</v>
      </c>
      <c r="AM66" s="1076">
        <v>115</v>
      </c>
      <c r="AN66" s="449">
        <v>10</v>
      </c>
      <c r="AO66" s="449">
        <v>10</v>
      </c>
      <c r="AP66" s="449">
        <v>10</v>
      </c>
      <c r="AQ66" s="449">
        <v>10</v>
      </c>
      <c r="AR66" s="449">
        <v>10</v>
      </c>
      <c r="AS66" s="1076">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7109375" style="4302" hidden="1" customWidth="1"/>
    <col min="17" max="18" width="3" style="4303" customWidth="1"/>
    <col min="19" max="19" width="12" style="4304" customWidth="1"/>
    <col min="20" max="20" width="31" style="4267" customWidth="1"/>
    <col min="21" max="21" width="0.140625" style="4267" customWidth="1"/>
    <col min="22" max="22" width="24.7109375" style="4267" hidden="1" customWidth="1"/>
    <col min="23" max="23" width="0.140625" style="4267" hidden="1" customWidth="1"/>
    <col min="24" max="25" width="24.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24.7109375" style="4267" customWidth="1"/>
    <col min="31" max="31" width="0.140625" style="4267" customWidth="1"/>
    <col min="32" max="33" width="24" style="4267" customWidth="1"/>
    <col min="34" max="34" width="11" style="4267" customWidth="1"/>
    <col min="35" max="35" width="3.7109375" style="4267" customWidth="1"/>
    <col min="36" max="36" width="11" style="4267" customWidth="1"/>
    <col min="37" max="37" width="8.5703125" style="4267" hidden="1" customWidth="1"/>
    <col min="38" max="38" width="4" style="4267" customWidth="1"/>
    <col min="39" max="39" width="115" style="4267" customWidth="1"/>
    <col min="40" max="44" width="10" style="4275" customWidth="1"/>
    <col min="45" max="45" width="10.5703125" style="4267" hidden="1"/>
  </cols>
  <sheetData>
    <row r="1" spans="1:45" ht="22.5" hidden="1" customHeight="1">
      <c r="A1" s="1789"/>
      <c r="Y1" s="265"/>
      <c r="Z1" s="265"/>
      <c r="AG1" s="265"/>
      <c r="AH1" s="265"/>
      <c r="AS1" s="1076" t="s">
        <v>14</v>
      </c>
    </row>
    <row r="2" spans="1:45" ht="21" hidden="1" customHeight="1">
      <c r="A2" s="1284"/>
      <c r="B2" s="1284"/>
      <c r="C2" s="1284"/>
      <c r="D2" s="1284"/>
      <c r="E2" s="5469">
        <v>1</v>
      </c>
      <c r="F2" s="1284"/>
      <c r="G2" s="1284"/>
      <c r="H2" s="1284"/>
      <c r="I2" s="1284"/>
      <c r="J2" s="1284"/>
      <c r="K2" s="1284"/>
      <c r="L2" s="1285"/>
      <c r="M2" s="1286"/>
      <c r="N2" s="1286"/>
      <c r="O2" s="1286"/>
      <c r="P2" s="299"/>
      <c r="Q2" s="298"/>
      <c r="R2" s="293"/>
      <c r="S2" s="1257" t="e">
        <f>INDEX(PT_DIFFERENTIATION_NUM_NTAR,MATCH(A2,PT_DIFFERENTIATION_NTAR_ID,0))</f>
        <v>#N/A</v>
      </c>
      <c r="T2" s="236" t="s">
        <v>155</v>
      </c>
      <c r="U2" s="238"/>
      <c r="V2" s="5463"/>
      <c r="W2" s="5464"/>
      <c r="X2" s="5464"/>
      <c r="Y2" s="5464"/>
      <c r="Z2" s="5464"/>
      <c r="AA2" s="5464"/>
      <c r="AB2" s="5464"/>
      <c r="AC2" s="5465"/>
      <c r="AD2" s="5463" t="e">
        <f>INDEX(PT_DIFFERENTIATION_NTAR,MATCH(A2,PT_DIFFERENTIATION_NTAR_ID,0))</f>
        <v>#N/A</v>
      </c>
      <c r="AE2" s="5464"/>
      <c r="AF2" s="5464"/>
      <c r="AG2" s="5464"/>
      <c r="AH2" s="5464"/>
      <c r="AI2" s="5464"/>
      <c r="AJ2" s="5464"/>
      <c r="AK2" s="5464"/>
      <c r="AL2" s="5465"/>
      <c r="AM2" s="1179" t="s">
        <v>489</v>
      </c>
      <c r="AO2" s="438"/>
      <c r="AP2" s="438" t="str">
        <f t="shared" ref="AP2:AP15" si="0">IF(T2="","",T2)</f>
        <v>Наименование тарифа</v>
      </c>
      <c r="AQ2" s="438"/>
      <c r="AR2" s="438"/>
      <c r="AS2" s="1076">
        <v>0</v>
      </c>
    </row>
    <row r="3" spans="1:45" ht="21" hidden="1" customHeight="1">
      <c r="A3" s="1284"/>
      <c r="B3" s="1284"/>
      <c r="C3" s="1284"/>
      <c r="D3" s="1284"/>
      <c r="E3" s="5470"/>
      <c r="F3" s="5469">
        <v>1</v>
      </c>
      <c r="G3" s="1284"/>
      <c r="H3" s="1284"/>
      <c r="I3" s="1284"/>
      <c r="J3" s="1284"/>
      <c r="K3" s="1284"/>
      <c r="L3" s="1285"/>
      <c r="M3" s="1286"/>
      <c r="N3" s="1286"/>
      <c r="O3" s="1286"/>
      <c r="P3" s="1253"/>
      <c r="Q3" s="290"/>
      <c r="R3" s="291"/>
      <c r="S3" s="1257" t="e">
        <f>INDEX(PT_DIFFERENTIATION_NUM_TER,MATCH(B3,PT_DIFFERENTIATION_TER_ID,0))</f>
        <v>#N/A</v>
      </c>
      <c r="T3" s="246" t="s">
        <v>490</v>
      </c>
      <c r="U3" s="238"/>
      <c r="V3" s="5463"/>
      <c r="W3" s="5464"/>
      <c r="X3" s="5464"/>
      <c r="Y3" s="5464"/>
      <c r="Z3" s="5464"/>
      <c r="AA3" s="5464"/>
      <c r="AB3" s="5464"/>
      <c r="AC3" s="5465"/>
      <c r="AD3" s="5463" t="e">
        <f>INDEX(PT_DIFFERENTIATION_TER,MATCH(B3,PT_DIFFERENTIATION_TER_ID,0))</f>
        <v>#N/A</v>
      </c>
      <c r="AE3" s="5464"/>
      <c r="AF3" s="5464"/>
      <c r="AG3" s="5464"/>
      <c r="AH3" s="5464"/>
      <c r="AI3" s="5464"/>
      <c r="AJ3" s="5464"/>
      <c r="AK3" s="5464"/>
      <c r="AL3" s="5465"/>
      <c r="AM3" s="1179" t="s">
        <v>491</v>
      </c>
      <c r="AO3" s="438"/>
      <c r="AP3" s="438" t="str">
        <f t="shared" si="0"/>
        <v>Территория действия тарифа</v>
      </c>
      <c r="AQ3" s="438"/>
      <c r="AR3" s="438"/>
      <c r="AS3" s="1076">
        <v>0</v>
      </c>
    </row>
    <row r="4" spans="1:45" ht="23.25" hidden="1" customHeight="1">
      <c r="A4" s="1284"/>
      <c r="B4" s="1284"/>
      <c r="C4" s="1284"/>
      <c r="D4" s="1284"/>
      <c r="E4" s="5470"/>
      <c r="F4" s="5470"/>
      <c r="G4" s="5469">
        <v>1</v>
      </c>
      <c r="H4" s="1284"/>
      <c r="I4" s="1284"/>
      <c r="J4" s="1284"/>
      <c r="K4" s="1284"/>
      <c r="L4" s="1285"/>
      <c r="M4" s="1286"/>
      <c r="N4" s="1286"/>
      <c r="O4" s="1286"/>
      <c r="P4" s="292"/>
      <c r="Q4" s="290"/>
      <c r="R4" s="291"/>
      <c r="S4" s="1923" t="e">
        <f>INDEX(PT_DIFFERENTIATION_NUM_CS,MATCH(C4,PT_DIFFERENTIATION_CS_ID,0))</f>
        <v>#N/A</v>
      </c>
      <c r="T4" s="1927" t="s">
        <v>492</v>
      </c>
      <c r="U4" s="1928"/>
      <c r="V4" s="5505"/>
      <c r="W4" s="5506"/>
      <c r="X4" s="5506"/>
      <c r="Y4" s="5506"/>
      <c r="Z4" s="5506"/>
      <c r="AA4" s="5506"/>
      <c r="AB4" s="5506"/>
      <c r="AC4" s="5507"/>
      <c r="AD4" s="5505" t="e">
        <f>INDEX(PT_DIFFERENTIATION_CS,MATCH(C4,PT_DIFFERENTIATION_CS_ID,0))</f>
        <v>#N/A</v>
      </c>
      <c r="AE4" s="5506"/>
      <c r="AF4" s="5506"/>
      <c r="AG4" s="5506"/>
      <c r="AH4" s="5506"/>
      <c r="AI4" s="5506"/>
      <c r="AJ4" s="5506"/>
      <c r="AK4" s="5506"/>
      <c r="AL4" s="5507"/>
      <c r="AM4" s="1179" t="s">
        <v>493</v>
      </c>
      <c r="AO4" s="438"/>
      <c r="AP4" s="438" t="str">
        <f t="shared" si="0"/>
        <v xml:space="preserve">Наименование системы теплоснабжения </v>
      </c>
      <c r="AQ4" s="438"/>
      <c r="AR4" s="438"/>
      <c r="AS4" s="1076">
        <v>0</v>
      </c>
    </row>
    <row r="5" spans="1:45" ht="21" hidden="1" customHeight="1">
      <c r="A5" s="1284"/>
      <c r="B5" s="1284"/>
      <c r="C5" s="1284"/>
      <c r="D5" s="1284"/>
      <c r="E5" s="5470"/>
      <c r="F5" s="5470"/>
      <c r="G5" s="5470"/>
      <c r="H5" s="5469">
        <v>1</v>
      </c>
      <c r="I5" s="1284"/>
      <c r="J5" s="1284"/>
      <c r="K5" s="1284"/>
      <c r="L5" s="1285"/>
      <c r="M5" s="1286"/>
      <c r="N5" s="1286"/>
      <c r="O5" s="1286"/>
      <c r="P5" s="292"/>
      <c r="Q5" s="290"/>
      <c r="R5" s="1556"/>
      <c r="S5" s="1922" t="e">
        <f>INDEX(PT_DIFFERENTIATION_NUM_IST_TE,MATCH(D5,PT_DIFFERENTIATION_IST_TE_ID,0))</f>
        <v>#N/A</v>
      </c>
      <c r="T5" s="248" t="s">
        <v>494</v>
      </c>
      <c r="U5" s="238"/>
      <c r="V5" s="5508"/>
      <c r="W5" s="5508"/>
      <c r="X5" s="5508"/>
      <c r="Y5" s="5508"/>
      <c r="Z5" s="5508"/>
      <c r="AA5" s="5508"/>
      <c r="AB5" s="5508"/>
      <c r="AC5" s="5508"/>
      <c r="AD5" s="5508" t="e">
        <f>INDEX(PT_DIFFERENTIATION_IST_TE,MATCH(D5,PT_DIFFERENTIATION_IST_TE_ID,0))</f>
        <v>#N/A</v>
      </c>
      <c r="AE5" s="5508"/>
      <c r="AF5" s="5508"/>
      <c r="AG5" s="5508"/>
      <c r="AH5" s="5508"/>
      <c r="AI5" s="5508"/>
      <c r="AJ5" s="5508"/>
      <c r="AK5" s="5508"/>
      <c r="AL5" s="5508"/>
      <c r="AM5" s="1925" t="s">
        <v>495</v>
      </c>
      <c r="AO5" s="438"/>
      <c r="AP5" s="438" t="str">
        <f t="shared" si="0"/>
        <v xml:space="preserve">Источник тепловой энергии  </v>
      </c>
      <c r="AQ5" s="438"/>
      <c r="AR5" s="438"/>
      <c r="AS5" s="1076">
        <v>0</v>
      </c>
    </row>
    <row r="6" spans="1:45" ht="0.75" hidden="1" customHeight="1">
      <c r="A6" s="1284"/>
      <c r="B6" s="1284"/>
      <c r="C6" s="1284"/>
      <c r="D6" s="1284"/>
      <c r="E6" s="5470"/>
      <c r="F6" s="5470"/>
      <c r="G6" s="5470"/>
      <c r="H6" s="5470"/>
      <c r="I6" s="5471" t="e">
        <f>S5&amp;".1"</f>
        <v>#N/A</v>
      </c>
      <c r="J6" s="1284"/>
      <c r="K6" s="1284"/>
      <c r="L6" s="1285" t="s">
        <v>496</v>
      </c>
      <c r="M6" s="475"/>
      <c r="P6" s="5473">
        <v>1</v>
      </c>
      <c r="Q6" s="1252"/>
      <c r="R6" s="1921"/>
      <c r="S6" s="967"/>
      <c r="T6" s="1304"/>
      <c r="U6" s="1305"/>
      <c r="V6" s="5509"/>
      <c r="W6" s="5509"/>
      <c r="X6" s="5509"/>
      <c r="Y6" s="5509"/>
      <c r="Z6" s="5509"/>
      <c r="AA6" s="5509"/>
      <c r="AB6" s="5509"/>
      <c r="AC6" s="5509"/>
      <c r="AD6" s="5509"/>
      <c r="AE6" s="5509"/>
      <c r="AF6" s="5509"/>
      <c r="AG6" s="5509"/>
      <c r="AH6" s="5509"/>
      <c r="AI6" s="5509"/>
      <c r="AJ6" s="5509"/>
      <c r="AK6" s="5509"/>
      <c r="AL6" s="5509"/>
      <c r="AM6" s="1926"/>
      <c r="AO6" s="438"/>
      <c r="AP6" s="438" t="str">
        <f t="shared" si="0"/>
        <v/>
      </c>
      <c r="AQ6" s="438"/>
      <c r="AR6" s="438"/>
      <c r="AS6" s="1076">
        <v>0</v>
      </c>
    </row>
    <row r="7" spans="1:45" ht="84" hidden="1" customHeight="1">
      <c r="A7" s="1284"/>
      <c r="B7" s="1284"/>
      <c r="C7" s="1284"/>
      <c r="D7" s="1284"/>
      <c r="E7" s="5470"/>
      <c r="F7" s="5470"/>
      <c r="G7" s="5470"/>
      <c r="H7" s="5470"/>
      <c r="I7" s="5472"/>
      <c r="J7" s="5471" t="e">
        <f>I6&amp;".1"</f>
        <v>#N/A</v>
      </c>
      <c r="K7" s="1284"/>
      <c r="L7" s="1285" t="s">
        <v>499</v>
      </c>
      <c r="M7" s="475"/>
      <c r="N7" s="1287"/>
      <c r="P7" s="5473"/>
      <c r="Q7" s="5473">
        <v>1</v>
      </c>
      <c r="R7" s="1563"/>
      <c r="S7" s="1922" t="e">
        <f>$J7</f>
        <v>#N/A</v>
      </c>
      <c r="T7" s="224" t="s">
        <v>500</v>
      </c>
      <c r="U7" s="238"/>
      <c r="V7" s="5503"/>
      <c r="W7" s="5503"/>
      <c r="X7" s="5503"/>
      <c r="Y7" s="5503"/>
      <c r="Z7" s="5503"/>
      <c r="AA7" s="5503"/>
      <c r="AB7" s="5503"/>
      <c r="AC7" s="5503"/>
      <c r="AD7" s="5503"/>
      <c r="AE7" s="5503"/>
      <c r="AF7" s="5503"/>
      <c r="AG7" s="5503"/>
      <c r="AH7" s="5503"/>
      <c r="AI7" s="5503"/>
      <c r="AJ7" s="5503"/>
      <c r="AK7" s="5503"/>
      <c r="AL7" s="5503"/>
      <c r="AM7" s="1925" t="s">
        <v>501</v>
      </c>
      <c r="AO7" s="438"/>
      <c r="AP7" s="438" t="str">
        <f t="shared" si="0"/>
        <v>Группа потребителей</v>
      </c>
      <c r="AQ7" s="438"/>
      <c r="AR7" s="438"/>
      <c r="AS7" s="1076">
        <v>0</v>
      </c>
    </row>
    <row r="8" spans="1:45" ht="11.25" hidden="1" customHeight="1">
      <c r="A8" s="1284"/>
      <c r="B8" s="1284"/>
      <c r="C8" s="1284"/>
      <c r="D8" s="1284"/>
      <c r="E8" s="5470"/>
      <c r="F8" s="5470"/>
      <c r="G8" s="5470"/>
      <c r="H8" s="5470"/>
      <c r="I8" s="5472"/>
      <c r="J8" s="5472"/>
      <c r="K8" s="5471" t="e">
        <f>J7&amp;".1"</f>
        <v>#N/A</v>
      </c>
      <c r="L8" s="1285" t="s">
        <v>502</v>
      </c>
      <c r="M8" s="475"/>
      <c r="N8" s="1287"/>
      <c r="O8" s="1287"/>
      <c r="P8" s="5473"/>
      <c r="Q8" s="5473"/>
      <c r="R8" s="295">
        <v>1</v>
      </c>
      <c r="S8" s="1924" t="e">
        <f>$K8</f>
        <v>#N/A</v>
      </c>
      <c r="T8" s="1929"/>
      <c r="U8" s="1930"/>
      <c r="V8" s="1931"/>
      <c r="W8" s="1270"/>
      <c r="X8" s="1931"/>
      <c r="Y8" s="1932"/>
      <c r="Z8" s="5504"/>
      <c r="AA8" s="5343" t="s">
        <v>66</v>
      </c>
      <c r="AB8" s="5504"/>
      <c r="AC8" s="5343" t="s">
        <v>66</v>
      </c>
      <c r="AD8" s="1931"/>
      <c r="AE8" s="1270"/>
      <c r="AF8" s="1931"/>
      <c r="AG8" s="1932"/>
      <c r="AH8" s="5504"/>
      <c r="AI8" s="5343" t="s">
        <v>66</v>
      </c>
      <c r="AJ8" s="5504"/>
      <c r="AK8" s="5343" t="s">
        <v>66</v>
      </c>
      <c r="AL8" s="1270"/>
      <c r="AM8" s="5492" t="s">
        <v>503</v>
      </c>
      <c r="AN8" s="449" t="e">
        <f ca="1">STRCHECKDATE(V9:AL9)</f>
        <v>#NAME?</v>
      </c>
      <c r="AO8" s="438"/>
      <c r="AP8" s="438" t="str">
        <f t="shared" si="0"/>
        <v/>
      </c>
      <c r="AQ8" s="438"/>
      <c r="AR8" s="438"/>
      <c r="AS8" s="1076">
        <v>0</v>
      </c>
    </row>
    <row r="9" spans="1:45" ht="0.75" hidden="1" customHeight="1">
      <c r="A9" s="1284"/>
      <c r="B9" s="1284"/>
      <c r="C9" s="1284"/>
      <c r="D9" s="1284"/>
      <c r="E9" s="5470"/>
      <c r="F9" s="5470"/>
      <c r="G9" s="5470"/>
      <c r="H9" s="5470"/>
      <c r="I9" s="5472"/>
      <c r="J9" s="5472"/>
      <c r="K9" s="5471"/>
      <c r="L9" s="1285"/>
      <c r="M9" s="475"/>
      <c r="N9" s="1287"/>
      <c r="O9" s="1287"/>
      <c r="P9" s="5473"/>
      <c r="Q9" s="5473"/>
      <c r="R9" s="295"/>
      <c r="S9" s="1263"/>
      <c r="T9" s="238"/>
      <c r="U9" s="238"/>
      <c r="V9" s="263"/>
      <c r="W9" s="263"/>
      <c r="X9" s="263"/>
      <c r="Y9" s="266" t="str">
        <f>Z8&amp;"-"&amp;AB8</f>
        <v>-</v>
      </c>
      <c r="Z9" s="5475"/>
      <c r="AA9" s="5338"/>
      <c r="AB9" s="5475"/>
      <c r="AC9" s="5338"/>
      <c r="AD9" s="263"/>
      <c r="AE9" s="263"/>
      <c r="AF9" s="263"/>
      <c r="AG9" s="266" t="str">
        <f>AH8&amp;"-"&amp;AJ8</f>
        <v>-</v>
      </c>
      <c r="AH9" s="5475"/>
      <c r="AI9" s="5338"/>
      <c r="AJ9" s="5475"/>
      <c r="AK9" s="5338"/>
      <c r="AL9" s="263"/>
      <c r="AM9" s="5493"/>
      <c r="AO9" s="438"/>
      <c r="AP9" s="438" t="str">
        <f t="shared" si="0"/>
        <v/>
      </c>
      <c r="AQ9" s="438"/>
      <c r="AR9" s="438"/>
      <c r="AS9" s="1076">
        <v>0</v>
      </c>
    </row>
    <row r="10" spans="1:45" ht="11.25" hidden="1" customHeight="1">
      <c r="A10" s="1284"/>
      <c r="B10" s="1284"/>
      <c r="C10" s="1284"/>
      <c r="D10" s="1284"/>
      <c r="E10" s="5470"/>
      <c r="F10" s="5470"/>
      <c r="G10" s="5470"/>
      <c r="H10" s="5470"/>
      <c r="I10" s="5472"/>
      <c r="J10" s="5471"/>
      <c r="K10" s="1284"/>
      <c r="L10" s="1285"/>
      <c r="M10" s="475"/>
      <c r="N10" s="1287"/>
      <c r="P10" s="5473"/>
      <c r="Q10" s="5473"/>
      <c r="R10" s="294"/>
      <c r="S10" s="1199"/>
      <c r="T10" s="225" t="s">
        <v>504</v>
      </c>
      <c r="U10" s="305"/>
      <c r="V10" s="305"/>
      <c r="W10" s="305"/>
      <c r="X10" s="305"/>
      <c r="Y10" s="305"/>
      <c r="Z10" s="305"/>
      <c r="AA10" s="305"/>
      <c r="AB10" s="305"/>
      <c r="AC10" s="305"/>
      <c r="AD10" s="305"/>
      <c r="AE10" s="305"/>
      <c r="AF10" s="305"/>
      <c r="AG10" s="305"/>
      <c r="AH10" s="305"/>
      <c r="AI10" s="305"/>
      <c r="AJ10" s="305"/>
      <c r="AK10" s="305"/>
      <c r="AL10" s="262"/>
      <c r="AM10" s="5494"/>
      <c r="AO10" s="438"/>
      <c r="AP10" s="438" t="str">
        <f t="shared" si="0"/>
        <v>Добавить вид теплоносителя (параметры теплоносителя)</v>
      </c>
      <c r="AQ10" s="438"/>
      <c r="AR10" s="438"/>
      <c r="AS10" s="1076">
        <v>0</v>
      </c>
    </row>
    <row r="11" spans="1:45" ht="11.25" hidden="1" customHeight="1">
      <c r="A11" s="1284"/>
      <c r="B11" s="1284"/>
      <c r="C11" s="1284"/>
      <c r="D11" s="1284"/>
      <c r="E11" s="5470"/>
      <c r="F11" s="5470"/>
      <c r="G11" s="5470"/>
      <c r="H11" s="5470"/>
      <c r="I11" s="5471"/>
      <c r="J11" s="1284"/>
      <c r="K11" s="1284"/>
      <c r="L11" s="1285"/>
      <c r="M11" s="475"/>
      <c r="P11" s="5473"/>
      <c r="Q11" s="1252"/>
      <c r="R11" s="294"/>
      <c r="S11" s="1199"/>
      <c r="T11" s="303" t="s">
        <v>505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76">
        <v>0</v>
      </c>
    </row>
    <row r="12" spans="1:45" ht="0.75" hidden="1" customHeight="1">
      <c r="A12" s="1284"/>
      <c r="B12" s="1284"/>
      <c r="C12" s="1284"/>
      <c r="D12" s="1284"/>
      <c r="E12" s="5470"/>
      <c r="F12" s="5470"/>
      <c r="G12" s="5470"/>
      <c r="H12" s="5469"/>
      <c r="I12" s="1284"/>
      <c r="J12" s="1284"/>
      <c r="K12" s="1284"/>
      <c r="L12" s="1285"/>
      <c r="M12" s="1286"/>
      <c r="N12" s="1286"/>
      <c r="O12" s="475"/>
      <c r="P12" s="298"/>
      <c r="Q12" s="313"/>
      <c r="R12" s="293"/>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38"/>
      <c r="AP12" s="438" t="str">
        <f t="shared" si="0"/>
        <v/>
      </c>
      <c r="AQ12" s="438"/>
      <c r="AR12" s="438"/>
      <c r="AS12" s="1076">
        <v>0</v>
      </c>
    </row>
    <row r="13" spans="1:45" s="4275" customFormat="1" ht="0.75" hidden="1" customHeight="1">
      <c r="A13" s="1235"/>
      <c r="B13" s="1235"/>
      <c r="C13" s="1235"/>
      <c r="D13" s="1235"/>
      <c r="E13" s="5470"/>
      <c r="F13" s="5470"/>
      <c r="G13" s="5469"/>
      <c r="H13" s="1235"/>
      <c r="I13" s="1235"/>
      <c r="J13" s="1235"/>
      <c r="K13" s="1235"/>
      <c r="L13" s="1260"/>
      <c r="M13" s="1236"/>
      <c r="N13" s="1236"/>
      <c r="P13" s="1237"/>
      <c r="Q13" s="1238"/>
      <c r="R13" s="1237"/>
      <c r="S13" s="1239"/>
      <c r="T13" s="1240" t="s">
        <v>507</v>
      </c>
      <c r="U13" s="1241"/>
      <c r="V13" s="1241"/>
      <c r="W13" s="1241"/>
      <c r="X13" s="1241"/>
      <c r="Y13" s="1241"/>
      <c r="Z13" s="1241"/>
      <c r="AA13" s="1241"/>
      <c r="AB13" s="1241"/>
      <c r="AC13" s="1241"/>
      <c r="AD13" s="1241"/>
      <c r="AE13" s="1241"/>
      <c r="AF13" s="1241"/>
      <c r="AG13" s="1241"/>
      <c r="AH13" s="1241"/>
      <c r="AI13" s="1241"/>
      <c r="AJ13" s="1241"/>
      <c r="AK13" s="1241"/>
      <c r="AL13" s="1241"/>
      <c r="AM13" s="1241"/>
      <c r="AO13" s="721"/>
      <c r="AP13" s="721" t="str">
        <f t="shared" si="0"/>
        <v>Добавить источник для дифференциации</v>
      </c>
      <c r="AQ13" s="721"/>
      <c r="AR13" s="721"/>
      <c r="AS13" s="456">
        <v>0</v>
      </c>
    </row>
    <row r="14" spans="1:45" s="4275" customFormat="1" ht="0.75" hidden="1" customHeight="1">
      <c r="A14" s="1235"/>
      <c r="B14" s="1235"/>
      <c r="C14" s="1235"/>
      <c r="D14" s="1235"/>
      <c r="E14" s="5470"/>
      <c r="F14" s="5469"/>
      <c r="G14" s="1235"/>
      <c r="H14" s="1235"/>
      <c r="I14" s="1235"/>
      <c r="J14" s="1235"/>
      <c r="K14" s="1235"/>
      <c r="L14" s="1260"/>
      <c r="M14" s="1242"/>
      <c r="N14" s="1242"/>
      <c r="P14" s="1237"/>
      <c r="Q14" s="1238"/>
      <c r="R14" s="1237"/>
      <c r="S14" s="1243"/>
      <c r="T14" s="1244" t="s">
        <v>312</v>
      </c>
      <c r="U14" s="1245"/>
      <c r="V14" s="1245"/>
      <c r="W14" s="1245"/>
      <c r="X14" s="1245"/>
      <c r="Y14" s="1245"/>
      <c r="Z14" s="1245"/>
      <c r="AA14" s="1245"/>
      <c r="AB14" s="1245"/>
      <c r="AC14" s="1245"/>
      <c r="AD14" s="1245"/>
      <c r="AE14" s="1245"/>
      <c r="AF14" s="1245"/>
      <c r="AG14" s="1245"/>
      <c r="AH14" s="1245"/>
      <c r="AI14" s="1245"/>
      <c r="AJ14" s="1245"/>
      <c r="AK14" s="1245"/>
      <c r="AL14" s="1245"/>
      <c r="AM14" s="1245"/>
      <c r="AO14" s="721"/>
      <c r="AP14" s="721" t="str">
        <f t="shared" si="0"/>
        <v>Добавить централизованную систему для дифференциации</v>
      </c>
      <c r="AQ14" s="721"/>
      <c r="AR14" s="721"/>
      <c r="AS14" s="456">
        <v>0</v>
      </c>
    </row>
    <row r="15" spans="1:45" s="4275" customFormat="1" ht="0.75" hidden="1" customHeight="1">
      <c r="A15" s="1235"/>
      <c r="B15" s="1235"/>
      <c r="C15" s="1235"/>
      <c r="D15" s="1235"/>
      <c r="E15" s="5469"/>
      <c r="F15" s="1235"/>
      <c r="G15" s="1235"/>
      <c r="H15" s="1235"/>
      <c r="I15" s="1235"/>
      <c r="J15" s="1235"/>
      <c r="K15" s="1235"/>
      <c r="L15" s="1260"/>
      <c r="M15" s="1242"/>
      <c r="N15" s="1242"/>
      <c r="P15" s="1237"/>
      <c r="Q15" s="1238"/>
      <c r="R15" s="1237"/>
      <c r="S15" s="1243"/>
      <c r="T15" s="1246" t="s">
        <v>360</v>
      </c>
      <c r="U15" s="1245"/>
      <c r="V15" s="1245"/>
      <c r="W15" s="1245"/>
      <c r="X15" s="1245"/>
      <c r="Y15" s="1245"/>
      <c r="Z15" s="1245"/>
      <c r="AA15" s="1245"/>
      <c r="AB15" s="1245"/>
      <c r="AC15" s="1245"/>
      <c r="AD15" s="1245"/>
      <c r="AE15" s="1245"/>
      <c r="AF15" s="1245"/>
      <c r="AG15" s="1245"/>
      <c r="AH15" s="1245"/>
      <c r="AI15" s="1245"/>
      <c r="AJ15" s="1245"/>
      <c r="AK15" s="1245"/>
      <c r="AL15" s="1245"/>
      <c r="AM15" s="1245"/>
      <c r="AO15" s="721"/>
      <c r="AP15" s="721" t="str">
        <f t="shared" si="0"/>
        <v>Добавить территорию для дифференциации</v>
      </c>
      <c r="AQ15" s="721"/>
      <c r="AR15" s="721"/>
      <c r="AS15" s="456">
        <v>0</v>
      </c>
    </row>
    <row r="16" spans="1:45" ht="14.25" hidden="1" customHeight="1">
      <c r="AC16" s="265"/>
      <c r="AK16" s="265"/>
      <c r="AS16" s="1076">
        <v>0</v>
      </c>
    </row>
    <row r="17" spans="1:45" ht="14.25" hidden="1" customHeight="1">
      <c r="AD17" s="1281"/>
      <c r="AE17" s="1281"/>
      <c r="AF17" s="1281"/>
      <c r="AG17" s="1282"/>
      <c r="AH17" s="5467"/>
      <c r="AI17" s="5466" t="s">
        <v>66</v>
      </c>
      <c r="AJ17" s="5467"/>
      <c r="AK17" s="5466" t="s">
        <v>66</v>
      </c>
      <c r="AS17" s="1076">
        <v>0</v>
      </c>
    </row>
    <row r="18" spans="1:45" ht="14.25" hidden="1" customHeight="1">
      <c r="AD18" s="1281"/>
      <c r="AE18" s="1281"/>
      <c r="AF18" s="1281"/>
      <c r="AG18" s="266" t="str">
        <f>AH17&amp;"-"&amp;AJ17</f>
        <v>-</v>
      </c>
      <c r="AH18" s="5466"/>
      <c r="AI18" s="5466"/>
      <c r="AJ18" s="5466"/>
      <c r="AK18" s="5466"/>
      <c r="AS18" s="1076">
        <v>0</v>
      </c>
    </row>
    <row r="19" spans="1:45" ht="14.25" hidden="1" customHeight="1">
      <c r="AK19" s="265"/>
      <c r="AS19" s="1076">
        <v>0</v>
      </c>
    </row>
    <row r="20" spans="1:45" s="4274" customFormat="1" ht="22.5" hidden="1" customHeight="1">
      <c r="L20" s="1250"/>
      <c r="M20" s="1283"/>
      <c r="N20" s="1283"/>
      <c r="O20" s="1288" t="s">
        <v>508</v>
      </c>
      <c r="P20" s="1283"/>
      <c r="Q20" s="1292"/>
      <c r="R20" s="1292"/>
      <c r="S20" s="667"/>
      <c r="Z20" s="1288"/>
      <c r="AB20" s="1288"/>
      <c r="AC20" s="1287"/>
      <c r="AH20" s="1288"/>
      <c r="AJ20" s="1288"/>
      <c r="AK20" s="1287"/>
      <c r="AN20" s="449"/>
      <c r="AO20" s="449"/>
      <c r="AP20" s="449"/>
      <c r="AQ20" s="449"/>
      <c r="AR20" s="449"/>
      <c r="AS20" s="1081">
        <v>0</v>
      </c>
    </row>
    <row r="21" spans="1:45" s="4274" customFormat="1" ht="14.25" hidden="1" customHeight="1">
      <c r="L21" s="1250"/>
      <c r="M21" s="1283"/>
      <c r="N21" s="1283"/>
      <c r="O21" s="1283"/>
      <c r="P21" s="1283"/>
      <c r="Q21" s="1292"/>
      <c r="R21" s="1292"/>
      <c r="S21" s="667"/>
      <c r="AC21" s="1287"/>
      <c r="AK21" s="1287"/>
      <c r="AN21" s="449"/>
      <c r="AO21" s="449"/>
      <c r="AP21" s="449"/>
      <c r="AQ21" s="449"/>
      <c r="AR21" s="449"/>
      <c r="AS21" s="1081">
        <v>0</v>
      </c>
    </row>
    <row r="22" spans="1:45" s="4274" customFormat="1" ht="14.25" hidden="1" customHeight="1">
      <c r="L22" s="1250"/>
      <c r="M22" s="1283"/>
      <c r="N22" s="1283"/>
      <c r="O22" s="1285" t="s">
        <v>509</v>
      </c>
      <c r="P22" s="1283"/>
      <c r="Q22" s="1292"/>
      <c r="R22" s="1292"/>
      <c r="S22" s="667"/>
      <c r="T22" s="1081" t="s">
        <v>510</v>
      </c>
      <c r="AA22" s="124" t="s">
        <v>511</v>
      </c>
      <c r="AC22" s="124" t="s">
        <v>512</v>
      </c>
      <c r="AD22" s="1081" t="s">
        <v>510</v>
      </c>
      <c r="AI22" s="124" t="s">
        <v>513</v>
      </c>
      <c r="AK22" s="124" t="s">
        <v>512</v>
      </c>
      <c r="AN22" s="449"/>
      <c r="AO22" s="449"/>
      <c r="AP22" s="449"/>
      <c r="AQ22" s="449"/>
      <c r="AR22" s="449"/>
      <c r="AS22" s="1081">
        <v>0</v>
      </c>
    </row>
    <row r="23" spans="1:45" ht="14.25" hidden="1" customHeight="1">
      <c r="O23" s="1285"/>
      <c r="AS23" s="1076">
        <v>0</v>
      </c>
    </row>
    <row r="24" spans="1:45" ht="14.25" hidden="1" customHeight="1">
      <c r="O24" s="1285"/>
      <c r="AS24" s="1076">
        <v>0</v>
      </c>
    </row>
    <row r="25" spans="1:45" ht="14.65" customHeight="1">
      <c r="Q25" s="314"/>
      <c r="R25" s="314"/>
      <c r="S25" s="1196"/>
      <c r="T25" s="301"/>
      <c r="U25" s="301"/>
      <c r="V25" s="447"/>
      <c r="W25" s="447"/>
      <c r="X25" s="447"/>
      <c r="Y25" s="447"/>
      <c r="Z25" s="447"/>
      <c r="AA25" s="447"/>
      <c r="AB25" s="447"/>
      <c r="AC25" s="447"/>
      <c r="AD25" s="447"/>
      <c r="AE25" s="447"/>
      <c r="AF25" s="447"/>
      <c r="AG25" s="447"/>
      <c r="AH25" s="447"/>
      <c r="AI25" s="447"/>
      <c r="AJ25" s="447"/>
      <c r="AK25" s="447"/>
      <c r="AS25" s="1076">
        <v>14</v>
      </c>
    </row>
    <row r="26" spans="1:45" ht="54.75" customHeight="1">
      <c r="Q26" s="314"/>
      <c r="R26" s="314"/>
      <c r="S26" s="54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402"/>
      <c r="U26" s="5402"/>
      <c r="V26" s="5402"/>
      <c r="W26" s="5402"/>
      <c r="X26" s="5402"/>
      <c r="Y26" s="5402"/>
      <c r="Z26" s="5402"/>
      <c r="AA26" s="5402"/>
      <c r="AB26" s="5402"/>
      <c r="AC26" s="5402"/>
      <c r="AD26" s="5402"/>
      <c r="AE26" s="5402"/>
      <c r="AF26" s="5402"/>
      <c r="AG26" s="5402"/>
      <c r="AH26" s="5402"/>
      <c r="AI26" s="5402"/>
      <c r="AJ26" s="5402"/>
      <c r="AK26" s="1164"/>
      <c r="AS26" s="1076">
        <v>52</v>
      </c>
    </row>
    <row r="27" spans="1:45" ht="14.65" customHeight="1">
      <c r="Q27" s="314"/>
      <c r="R27" s="314"/>
      <c r="S27" s="5423" t="str">
        <f>IF(org=0,"Не определено",org)</f>
        <v>КГУП "Примтеплоэнерго"</v>
      </c>
      <c r="T27" s="5423"/>
      <c r="U27" s="5423"/>
      <c r="V27" s="5423"/>
      <c r="W27" s="5423"/>
      <c r="X27" s="5423"/>
      <c r="Y27" s="5423"/>
      <c r="Z27" s="5423"/>
      <c r="AA27" s="5423"/>
      <c r="AB27" s="5423"/>
      <c r="AC27" s="5423"/>
      <c r="AD27" s="5423"/>
      <c r="AE27" s="5423"/>
      <c r="AF27" s="5423"/>
      <c r="AG27" s="5423"/>
      <c r="AH27" s="5423"/>
      <c r="AI27" s="5423"/>
      <c r="AJ27" s="5423"/>
      <c r="AK27" s="1164"/>
      <c r="AS27" s="1076">
        <v>14</v>
      </c>
    </row>
    <row r="28" spans="1:45" ht="14.25" hidden="1" customHeight="1">
      <c r="Q28" s="314"/>
      <c r="R28" s="314"/>
      <c r="S28" s="1196"/>
      <c r="T28" s="301"/>
      <c r="U28" s="301"/>
      <c r="V28" s="260"/>
      <c r="W28" s="260"/>
      <c r="X28" s="260"/>
      <c r="Y28" s="260"/>
      <c r="Z28" s="260"/>
      <c r="AA28" s="260"/>
      <c r="AB28" s="260"/>
      <c r="AC28" s="260"/>
      <c r="AD28" s="260"/>
      <c r="AE28" s="260"/>
      <c r="AF28" s="260"/>
      <c r="AG28" s="260"/>
      <c r="AH28" s="260"/>
      <c r="AI28" s="260"/>
      <c r="AJ28" s="260"/>
      <c r="AK28" s="260"/>
      <c r="AL28" s="447"/>
      <c r="AS28" s="1076">
        <v>0</v>
      </c>
    </row>
    <row r="29" spans="1:45" s="4284" customFormat="1" ht="25.5" hidden="1" customHeight="1">
      <c r="A29" s="1289"/>
      <c r="B29" s="1289"/>
      <c r="C29" s="1289"/>
      <c r="D29" s="1289"/>
      <c r="E29" s="1289"/>
      <c r="F29" s="1289"/>
      <c r="G29" s="1289"/>
      <c r="H29" s="1289"/>
      <c r="I29" s="1289"/>
      <c r="J29" s="1289"/>
      <c r="K29" s="1289"/>
      <c r="L29" s="1290"/>
      <c r="M29" s="1289"/>
      <c r="N29" s="1289"/>
      <c r="O29" s="1289"/>
      <c r="S29" s="5460" t="s">
        <v>42</v>
      </c>
      <c r="T29" s="5460"/>
      <c r="U29" s="1293"/>
      <c r="V29" s="5462" t="str">
        <f>IF(TITLE_NAME_OR_PR_CHANGE="",IF(TITLE_NAME_OR_PR="","",TITLE_NAME_OR_PR),TITLE_NAME_OR_PR_CHANGE)</f>
        <v/>
      </c>
      <c r="W29" s="5462"/>
      <c r="X29" s="5462"/>
      <c r="Y29" s="5462"/>
      <c r="Z29" s="5462"/>
      <c r="AA29" s="5462"/>
      <c r="AB29" s="5462"/>
      <c r="AC29" s="264"/>
      <c r="AD29" s="5462" t="str">
        <f>IF(TITLE_NAME_OR_PR_CHANGE="",IF(TITLE_NAME_OR_PR="","",TITLE_NAME_OR_PR),TITLE_NAME_OR_PR_CHANGE)</f>
        <v/>
      </c>
      <c r="AE29" s="5462"/>
      <c r="AF29" s="5462"/>
      <c r="AG29" s="5462"/>
      <c r="AH29" s="5462"/>
      <c r="AI29" s="5462"/>
      <c r="AJ29" s="5462"/>
      <c r="AK29" s="264"/>
      <c r="AL29" s="264"/>
      <c r="AM29" s="218"/>
      <c r="AN29" s="306"/>
      <c r="AO29" s="306"/>
      <c r="AP29" s="306"/>
      <c r="AQ29" s="306"/>
      <c r="AR29" s="306"/>
      <c r="AS29" s="356">
        <v>0</v>
      </c>
    </row>
    <row r="30" spans="1:45" s="4284" customFormat="1" ht="18.75" hidden="1" customHeight="1">
      <c r="A30" s="1289"/>
      <c r="B30" s="1289"/>
      <c r="C30" s="1289"/>
      <c r="D30" s="1289"/>
      <c r="E30" s="1289"/>
      <c r="F30" s="1289"/>
      <c r="G30" s="1289"/>
      <c r="H30" s="1289"/>
      <c r="I30" s="1289"/>
      <c r="J30" s="1289"/>
      <c r="K30" s="1289"/>
      <c r="L30" s="1290"/>
      <c r="M30" s="1289"/>
      <c r="N30" s="1289"/>
      <c r="O30" s="1289"/>
      <c r="S30" s="5460" t="s">
        <v>514</v>
      </c>
      <c r="T30" s="5460"/>
      <c r="U30" s="1293"/>
      <c r="V30" s="5461">
        <f>IF(TITLE_DATE_PR_CHANGE="",IF(TITLE_DATE_PR="","",TITLE_DATE_PR),TITLE_DATE_PR_CHANGE)</f>
        <v>45649.605891203704</v>
      </c>
      <c r="W30" s="5461"/>
      <c r="X30" s="5461"/>
      <c r="Y30" s="5461"/>
      <c r="Z30" s="5461"/>
      <c r="AA30" s="5461"/>
      <c r="AB30" s="5461"/>
      <c r="AC30" s="264"/>
      <c r="AD30" s="5461">
        <f>IF(TITLE_DATE_PR_CHANGE="",IF(TITLE_DATE_PR="","",TITLE_DATE_PR),TITLE_DATE_PR_CHANGE)</f>
        <v>45649.605891203704</v>
      </c>
      <c r="AE30" s="5461"/>
      <c r="AF30" s="5461"/>
      <c r="AG30" s="5461"/>
      <c r="AH30" s="5461"/>
      <c r="AI30" s="5461"/>
      <c r="AJ30" s="5461"/>
      <c r="AK30" s="264"/>
      <c r="AL30" s="264"/>
      <c r="AM30" s="218"/>
      <c r="AN30" s="306"/>
      <c r="AO30" s="306"/>
      <c r="AP30" s="306"/>
      <c r="AQ30" s="306"/>
      <c r="AR30" s="306"/>
      <c r="AS30" s="356">
        <v>0</v>
      </c>
    </row>
    <row r="31" spans="1:45" s="4284" customFormat="1" ht="18.75" hidden="1" customHeight="1">
      <c r="A31" s="1289"/>
      <c r="B31" s="1289"/>
      <c r="C31" s="1289"/>
      <c r="D31" s="1289"/>
      <c r="E31" s="1289"/>
      <c r="F31" s="1289"/>
      <c r="G31" s="1289"/>
      <c r="H31" s="1289"/>
      <c r="I31" s="1289"/>
      <c r="J31" s="1289"/>
      <c r="K31" s="1289"/>
      <c r="L31" s="1290"/>
      <c r="M31" s="1289"/>
      <c r="N31" s="1289"/>
      <c r="O31" s="1289"/>
      <c r="S31" s="5460" t="s">
        <v>515</v>
      </c>
      <c r="T31" s="5460"/>
      <c r="U31" s="1293"/>
      <c r="V31" s="5462" t="str">
        <f>IF(TITLE_NUMBER_PR_CHANGE="",IF(TITLE_NUMBER_PR="","",TITLE_NUMBER_PR),TITLE_NUMBER_PR_CHANGE)</f>
        <v>27-6414</v>
      </c>
      <c r="W31" s="5462"/>
      <c r="X31" s="5462"/>
      <c r="Y31" s="5462"/>
      <c r="Z31" s="5462"/>
      <c r="AA31" s="5462"/>
      <c r="AB31" s="5462"/>
      <c r="AC31" s="264"/>
      <c r="AD31" s="5462" t="str">
        <f>IF(TITLE_NUMBER_PR_CHANGE="",IF(TITLE_NUMBER_PR="","",TITLE_NUMBER_PR),TITLE_NUMBER_PR_CHANGE)</f>
        <v>27-6414</v>
      </c>
      <c r="AE31" s="5462"/>
      <c r="AF31" s="5462"/>
      <c r="AG31" s="5462"/>
      <c r="AH31" s="5462"/>
      <c r="AI31" s="5462"/>
      <c r="AJ31" s="5462"/>
      <c r="AK31" s="264"/>
      <c r="AL31" s="264"/>
      <c r="AM31" s="218"/>
      <c r="AN31" s="306"/>
      <c r="AO31" s="306"/>
      <c r="AP31" s="306"/>
      <c r="AQ31" s="306"/>
      <c r="AR31" s="306"/>
      <c r="AS31" s="356">
        <v>0</v>
      </c>
    </row>
    <row r="32" spans="1:45" s="4284" customFormat="1" ht="18.75" hidden="1" customHeight="1">
      <c r="A32" s="1289"/>
      <c r="B32" s="1289"/>
      <c r="C32" s="1289"/>
      <c r="D32" s="1289"/>
      <c r="E32" s="1289"/>
      <c r="F32" s="1289"/>
      <c r="G32" s="1289"/>
      <c r="H32" s="1289"/>
      <c r="I32" s="1289"/>
      <c r="J32" s="1289"/>
      <c r="K32" s="1289"/>
      <c r="L32" s="1290"/>
      <c r="M32" s="1289"/>
      <c r="N32" s="1289"/>
      <c r="O32" s="1289"/>
      <c r="S32" s="5460" t="s">
        <v>43</v>
      </c>
      <c r="T32" s="5460"/>
      <c r="U32" s="1293"/>
      <c r="V32" s="5462" t="str">
        <f>IF(TITLE_IST_PUB_CHANGE="",IF(TITLE_IST_PUB="","",TITLE_IST_PUB),TITLE_IST_PUB_CHANGE)</f>
        <v/>
      </c>
      <c r="W32" s="5462"/>
      <c r="X32" s="5462"/>
      <c r="Y32" s="5462"/>
      <c r="Z32" s="5462"/>
      <c r="AA32" s="5462"/>
      <c r="AB32" s="5462"/>
      <c r="AC32" s="264"/>
      <c r="AD32" s="5462" t="str">
        <f>IF(TITLE_IST_PUB_CHANGE="",IF(TITLE_IST_PUB="","",TITLE_IST_PUB),TITLE_IST_PUB_CHANGE)</f>
        <v/>
      </c>
      <c r="AE32" s="5462"/>
      <c r="AF32" s="5462"/>
      <c r="AG32" s="5462"/>
      <c r="AH32" s="5462"/>
      <c r="AI32" s="5462"/>
      <c r="AJ32" s="5462"/>
      <c r="AK32" s="264"/>
      <c r="AL32" s="264"/>
      <c r="AM32" s="218"/>
      <c r="AN32" s="306"/>
      <c r="AO32" s="306"/>
      <c r="AP32" s="306"/>
      <c r="AQ32" s="306"/>
      <c r="AR32" s="306"/>
      <c r="AS32" s="356">
        <v>0</v>
      </c>
    </row>
    <row r="33" spans="1:45" ht="14.25" customHeight="1">
      <c r="Q33" s="314"/>
      <c r="R33" s="314"/>
      <c r="S33" s="1196"/>
      <c r="T33" s="301"/>
      <c r="U33" s="301"/>
      <c r="V33" s="260"/>
      <c r="W33" s="260"/>
      <c r="X33" s="260"/>
      <c r="Y33" s="260"/>
      <c r="Z33" s="260"/>
      <c r="AA33" s="260"/>
      <c r="AB33" s="260"/>
      <c r="AC33" s="260"/>
      <c r="AD33" s="260"/>
      <c r="AE33" s="260"/>
      <c r="AF33" s="260"/>
      <c r="AG33" s="260"/>
      <c r="AH33" s="260"/>
      <c r="AI33" s="260"/>
      <c r="AJ33" s="260"/>
      <c r="AK33" s="260"/>
      <c r="AL33" s="447"/>
      <c r="AS33" s="1076">
        <v>0</v>
      </c>
    </row>
    <row r="34" spans="1:45" s="4284" customFormat="1" ht="18.75" customHeight="1">
      <c r="A34" s="1289"/>
      <c r="B34" s="1289"/>
      <c r="C34" s="1289"/>
      <c r="D34" s="1289"/>
      <c r="E34" s="1289"/>
      <c r="F34" s="1289"/>
      <c r="G34" s="1289"/>
      <c r="H34" s="1289"/>
      <c r="I34" s="1289"/>
      <c r="J34" s="1289"/>
      <c r="K34" s="1289"/>
      <c r="L34" s="1290"/>
      <c r="M34" s="1289"/>
      <c r="N34" s="1289"/>
      <c r="O34" s="1289"/>
      <c r="S34" s="5460" t="s">
        <v>516</v>
      </c>
      <c r="T34" s="5460"/>
      <c r="U34" s="1293"/>
      <c r="V34" s="5461">
        <f>IF(TITLE_DATE_PR_CHANGE="",IF(TITLE_DATE_PR="","",TITLE_DATE_PR),TITLE_DATE_PR_CHANGE)</f>
        <v>45649.605891203704</v>
      </c>
      <c r="W34" s="5461"/>
      <c r="X34" s="5461"/>
      <c r="Y34" s="5461"/>
      <c r="Z34" s="5461"/>
      <c r="AA34" s="5461"/>
      <c r="AB34" s="5461"/>
      <c r="AC34" s="264"/>
      <c r="AD34" s="5461">
        <f>IF(TITLE_DATE_PR_CHANGE="",IF(TITLE_DATE_PR="","",TITLE_DATE_PR),TITLE_DATE_PR_CHANGE)</f>
        <v>45649.605891203704</v>
      </c>
      <c r="AE34" s="5461"/>
      <c r="AF34" s="5461"/>
      <c r="AG34" s="5461"/>
      <c r="AH34" s="5461"/>
      <c r="AI34" s="5461"/>
      <c r="AJ34" s="5461"/>
      <c r="AK34" s="264"/>
      <c r="AL34" s="264"/>
      <c r="AM34" s="218"/>
      <c r="AN34" s="306"/>
      <c r="AO34" s="306"/>
      <c r="AP34" s="306"/>
      <c r="AQ34" s="306"/>
      <c r="AR34" s="306"/>
      <c r="AS34" s="356">
        <v>0</v>
      </c>
    </row>
    <row r="35" spans="1:45" s="4284" customFormat="1" ht="18.75" customHeight="1">
      <c r="A35" s="1289"/>
      <c r="B35" s="1289"/>
      <c r="C35" s="1289"/>
      <c r="D35" s="1289"/>
      <c r="E35" s="1289"/>
      <c r="F35" s="1289"/>
      <c r="G35" s="1289"/>
      <c r="H35" s="1289"/>
      <c r="I35" s="1289"/>
      <c r="J35" s="1289"/>
      <c r="K35" s="1289"/>
      <c r="L35" s="1290"/>
      <c r="M35" s="1289"/>
      <c r="N35" s="1289"/>
      <c r="O35" s="1289"/>
      <c r="S35" s="5460" t="s">
        <v>517</v>
      </c>
      <c r="T35" s="5460"/>
      <c r="U35" s="1293"/>
      <c r="V35" s="5462" t="str">
        <f>IF(TITLE_NUMBER_PR_CHANGE="",IF(TITLE_NUMBER_PR="","",TITLE_NUMBER_PR),TITLE_NUMBER_PR_CHANGE)</f>
        <v>27-6414</v>
      </c>
      <c r="W35" s="5462"/>
      <c r="X35" s="5462"/>
      <c r="Y35" s="5462"/>
      <c r="Z35" s="5462"/>
      <c r="AA35" s="5462"/>
      <c r="AB35" s="5462"/>
      <c r="AC35" s="264"/>
      <c r="AD35" s="5462" t="str">
        <f>IF(TITLE_NUMBER_PR_CHANGE="",IF(TITLE_NUMBER_PR="","",TITLE_NUMBER_PR),TITLE_NUMBER_PR_CHANGE)</f>
        <v>27-6414</v>
      </c>
      <c r="AE35" s="5462"/>
      <c r="AF35" s="5462"/>
      <c r="AG35" s="5462"/>
      <c r="AH35" s="5462"/>
      <c r="AI35" s="5462"/>
      <c r="AJ35" s="5462"/>
      <c r="AK35" s="264"/>
      <c r="AL35" s="264"/>
      <c r="AM35" s="218"/>
      <c r="AN35" s="306"/>
      <c r="AO35" s="306"/>
      <c r="AP35" s="306"/>
      <c r="AQ35" s="306"/>
      <c r="AR35" s="306"/>
      <c r="AS35" s="356">
        <v>0</v>
      </c>
    </row>
    <row r="36" spans="1:45" s="4284" customFormat="1" ht="0" hidden="1" customHeight="1">
      <c r="A36" s="1289"/>
      <c r="B36" s="1289"/>
      <c r="C36" s="1289"/>
      <c r="D36" s="1289"/>
      <c r="E36" s="1289"/>
      <c r="F36" s="1289"/>
      <c r="G36" s="1289"/>
      <c r="H36" s="1289"/>
      <c r="I36" s="1289"/>
      <c r="J36" s="1289"/>
      <c r="K36" s="1289"/>
      <c r="L36" s="1290"/>
      <c r="M36" s="1289"/>
      <c r="N36" s="1289"/>
      <c r="O36" s="1289"/>
      <c r="S36" s="261"/>
      <c r="T36" s="261"/>
      <c r="U36" s="1261"/>
      <c r="V36" s="264"/>
      <c r="W36" s="264"/>
      <c r="X36" s="264"/>
      <c r="Y36" s="264"/>
      <c r="Z36" s="264"/>
      <c r="AA36" s="264"/>
      <c r="AB36" s="264"/>
      <c r="AC36" s="216" t="s">
        <v>518</v>
      </c>
      <c r="AD36" s="264"/>
      <c r="AE36" s="264"/>
      <c r="AF36" s="264"/>
      <c r="AG36" s="264"/>
      <c r="AH36" s="264"/>
      <c r="AI36" s="264"/>
      <c r="AJ36" s="264"/>
      <c r="AK36" s="216" t="s">
        <v>518</v>
      </c>
      <c r="AN36" s="306"/>
      <c r="AO36" s="306"/>
      <c r="AP36" s="306"/>
      <c r="AQ36" s="306"/>
      <c r="AR36" s="306"/>
      <c r="AS36" s="356">
        <v>0</v>
      </c>
    </row>
    <row r="37" spans="1:45" ht="14.65" customHeight="1">
      <c r="Q37" s="314"/>
      <c r="R37" s="314"/>
      <c r="S37" s="1196"/>
      <c r="T37" s="301"/>
      <c r="U37" s="1165"/>
      <c r="V37" s="5481"/>
      <c r="W37" s="5481"/>
      <c r="X37" s="5481"/>
      <c r="Y37" s="5481"/>
      <c r="Z37" s="5481"/>
      <c r="AA37" s="5481"/>
      <c r="AB37" s="5481"/>
      <c r="AC37" s="5481"/>
      <c r="AD37" s="5481"/>
      <c r="AE37" s="5481"/>
      <c r="AF37" s="5481"/>
      <c r="AG37" s="5481"/>
      <c r="AH37" s="5481"/>
      <c r="AI37" s="5481"/>
      <c r="AJ37" s="5481"/>
      <c r="AK37" s="5481"/>
      <c r="AS37" s="1076">
        <v>14</v>
      </c>
    </row>
    <row r="38" spans="1:45" ht="14.65" customHeight="1">
      <c r="Q38" s="314"/>
      <c r="R38" s="314"/>
      <c r="S38" s="5328" t="s">
        <v>393</v>
      </c>
      <c r="T38" s="5328"/>
      <c r="U38" s="5328"/>
      <c r="V38" s="5328"/>
      <c r="W38" s="5328"/>
      <c r="X38" s="5328"/>
      <c r="Y38" s="5328"/>
      <c r="Z38" s="5328"/>
      <c r="AA38" s="5328"/>
      <c r="AB38" s="5328"/>
      <c r="AC38" s="5328"/>
      <c r="AD38" s="5328"/>
      <c r="AE38" s="5328"/>
      <c r="AF38" s="5328"/>
      <c r="AG38" s="5328"/>
      <c r="AH38" s="5328"/>
      <c r="AI38" s="5328"/>
      <c r="AJ38" s="5328"/>
      <c r="AK38" s="5328"/>
      <c r="AL38" s="5328"/>
      <c r="AM38" s="5328" t="s">
        <v>394</v>
      </c>
      <c r="AS38" s="1076">
        <v>14</v>
      </c>
    </row>
    <row r="39" spans="1:45" ht="14.65" customHeight="1">
      <c r="Q39" s="314"/>
      <c r="R39" s="314"/>
      <c r="S39" s="5482" t="s">
        <v>88</v>
      </c>
      <c r="T39" s="5431" t="s">
        <v>519</v>
      </c>
      <c r="U39" s="239"/>
      <c r="V39" s="5483" t="s">
        <v>520</v>
      </c>
      <c r="W39" s="5484"/>
      <c r="X39" s="5484"/>
      <c r="Y39" s="5484"/>
      <c r="Z39" s="5484"/>
      <c r="AA39" s="5484"/>
      <c r="AB39" s="5485"/>
      <c r="AC39" s="5486" t="s">
        <v>521</v>
      </c>
      <c r="AD39" s="5483" t="s">
        <v>520</v>
      </c>
      <c r="AE39" s="5484"/>
      <c r="AF39" s="5484"/>
      <c r="AG39" s="5484"/>
      <c r="AH39" s="5484"/>
      <c r="AI39" s="5484"/>
      <c r="AJ39" s="5485"/>
      <c r="AK39" s="5486" t="s">
        <v>522</v>
      </c>
      <c r="AL39" s="5489" t="s">
        <v>523</v>
      </c>
      <c r="AM39" s="5328"/>
      <c r="AS39" s="1076">
        <v>14</v>
      </c>
    </row>
    <row r="40" spans="1:45" ht="35.65" customHeight="1">
      <c r="Q40" s="314"/>
      <c r="R40" s="314"/>
      <c r="S40" s="5482"/>
      <c r="T40" s="5431"/>
      <c r="U40" s="956"/>
      <c r="V40" s="5403" t="s">
        <v>524</v>
      </c>
      <c r="W40" s="5478"/>
      <c r="X40" s="5309" t="s">
        <v>526</v>
      </c>
      <c r="Y40" s="5308"/>
      <c r="Z40" s="5309" t="s">
        <v>527</v>
      </c>
      <c r="AA40" s="5314"/>
      <c r="AB40" s="5308"/>
      <c r="AC40" s="5487"/>
      <c r="AD40" s="5403" t="s">
        <v>540</v>
      </c>
      <c r="AE40" s="5478"/>
      <c r="AF40" s="5309" t="s">
        <v>526</v>
      </c>
      <c r="AG40" s="5308"/>
      <c r="AH40" s="5309" t="s">
        <v>527</v>
      </c>
      <c r="AI40" s="5314"/>
      <c r="AJ40" s="5308"/>
      <c r="AK40" s="5487"/>
      <c r="AL40" s="5490"/>
      <c r="AM40" s="5328"/>
      <c r="AS40" s="1076">
        <v>34</v>
      </c>
    </row>
    <row r="41" spans="1:45" ht="35.65" customHeight="1">
      <c r="A41" s="1291"/>
      <c r="B41" s="1291" t="s">
        <v>167</v>
      </c>
      <c r="C41" s="1291" t="s">
        <v>168</v>
      </c>
      <c r="D41" s="1291" t="s">
        <v>169</v>
      </c>
      <c r="E41" s="1285" t="s">
        <v>528</v>
      </c>
      <c r="F41" s="1285" t="s">
        <v>529</v>
      </c>
      <c r="G41" s="1285" t="s">
        <v>530</v>
      </c>
      <c r="H41" s="1285" t="s">
        <v>531</v>
      </c>
      <c r="I41" s="1285" t="s">
        <v>532</v>
      </c>
      <c r="J41" s="1285" t="s">
        <v>533</v>
      </c>
      <c r="K41" s="1285" t="s">
        <v>534</v>
      </c>
      <c r="L41" s="1285" t="s">
        <v>509</v>
      </c>
      <c r="Q41" s="314"/>
      <c r="R41" s="314"/>
      <c r="S41" s="5482"/>
      <c r="T41" s="5431"/>
      <c r="U41" s="240"/>
      <c r="V41" s="5455"/>
      <c r="W41" s="5479"/>
      <c r="X41" s="1143" t="s">
        <v>535</v>
      </c>
      <c r="Y41" s="1143" t="s">
        <v>536</v>
      </c>
      <c r="Z41" s="1259" t="s">
        <v>537</v>
      </c>
      <c r="AA41" s="5436" t="s">
        <v>538</v>
      </c>
      <c r="AB41" s="5449"/>
      <c r="AC41" s="5488"/>
      <c r="AD41" s="5455"/>
      <c r="AE41" s="5479"/>
      <c r="AF41" s="1143" t="s">
        <v>535</v>
      </c>
      <c r="AG41" s="1143" t="s">
        <v>536</v>
      </c>
      <c r="AH41" s="1259" t="s">
        <v>537</v>
      </c>
      <c r="AI41" s="5436" t="s">
        <v>538</v>
      </c>
      <c r="AJ41" s="5449"/>
      <c r="AK41" s="5488"/>
      <c r="AL41" s="5491"/>
      <c r="AM41" s="5328"/>
      <c r="AS41" s="1076">
        <v>34</v>
      </c>
    </row>
    <row r="42" spans="1:45" s="4299" customFormat="1" ht="11.25" hidden="1" customHeight="1">
      <c r="A42" s="1291"/>
      <c r="B42" s="1291"/>
      <c r="C42" s="1291"/>
      <c r="D42" s="1291"/>
      <c r="E42" s="1291"/>
      <c r="F42" s="1291"/>
      <c r="G42" s="1291"/>
      <c r="H42" s="1291"/>
      <c r="I42" s="1291"/>
      <c r="J42" s="1291"/>
      <c r="K42" s="1291"/>
      <c r="L42" s="1285"/>
      <c r="M42" s="1283"/>
      <c r="N42" s="1283"/>
      <c r="O42" s="1283"/>
      <c r="P42" s="1167"/>
      <c r="Q42" s="1168"/>
      <c r="R42" s="1175">
        <v>1</v>
      </c>
      <c r="S42" s="1198" t="s">
        <v>136</v>
      </c>
      <c r="T42" s="1176" t="s">
        <v>103</v>
      </c>
      <c r="U42" s="1166" t="str">
        <f ca="1">OFFSET(U42,0,-1)</f>
        <v>2</v>
      </c>
      <c r="V42" s="1256">
        <f ca="1">OFFSET(V42,0,-1)+1</f>
        <v>3</v>
      </c>
      <c r="W42" s="1256"/>
      <c r="X42" s="1256">
        <f ca="1">OFFSET(X42,0,-1)+1</f>
        <v>1</v>
      </c>
      <c r="Y42" s="1256">
        <f ca="1">OFFSET(Y42,0,-1)+1</f>
        <v>2</v>
      </c>
      <c r="Z42" s="1256">
        <f ca="1">OFFSET(Z42,0,-1)+1</f>
        <v>3</v>
      </c>
      <c r="AA42" s="5480">
        <f ca="1">OFFSET(AA42,0,-1)+1</f>
        <v>4</v>
      </c>
      <c r="AB42" s="5480"/>
      <c r="AC42" s="1256">
        <f ca="1">OFFSET(AC42,0,-2)+1</f>
        <v>5</v>
      </c>
      <c r="AD42" s="1256">
        <f ca="1">OFFSET(AD42,0,-1)+1</f>
        <v>6</v>
      </c>
      <c r="AE42" s="1256"/>
      <c r="AF42" s="1256">
        <f ca="1">OFFSET(AF42,0,-1)+1</f>
        <v>1</v>
      </c>
      <c r="AG42" s="1256">
        <f ca="1">OFFSET(AG42,0,-1)+1</f>
        <v>2</v>
      </c>
      <c r="AH42" s="1256">
        <f ca="1">OFFSET(AH42,0,-1)+1</f>
        <v>3</v>
      </c>
      <c r="AI42" s="5480">
        <f ca="1">OFFSET(AI42,0,-1)+1</f>
        <v>4</v>
      </c>
      <c r="AJ42" s="5480"/>
      <c r="AK42" s="1256">
        <f ca="1">OFFSET(AK42,0,-2)+1</f>
        <v>5</v>
      </c>
      <c r="AL42" s="1166">
        <f ca="1">OFFSET(AL42,0,-1)</f>
        <v>5</v>
      </c>
      <c r="AM42" s="1256">
        <f ca="1">OFFSET(AM42,0,-1)+1</f>
        <v>6</v>
      </c>
      <c r="AN42" s="449"/>
      <c r="AO42" s="449"/>
      <c r="AP42" s="449"/>
      <c r="AQ42" s="449"/>
      <c r="AR42" s="449"/>
      <c r="AS42" s="434">
        <v>0</v>
      </c>
    </row>
    <row r="43" spans="1:45" ht="21.95" customHeight="1">
      <c r="A43" s="1284" t="s">
        <v>211</v>
      </c>
      <c r="B43" s="1284"/>
      <c r="C43" s="1284"/>
      <c r="D43" s="1284"/>
      <c r="E43" s="5469">
        <v>1</v>
      </c>
      <c r="F43" s="1284"/>
      <c r="G43" s="1284"/>
      <c r="H43" s="1284"/>
      <c r="I43" s="1284"/>
      <c r="J43" s="1284"/>
      <c r="K43" s="1284"/>
      <c r="L43" s="1285"/>
      <c r="M43" s="1286"/>
      <c r="N43" s="1286"/>
      <c r="O43" s="1286"/>
      <c r="P43" s="299"/>
      <c r="Q43" s="298"/>
      <c r="R43" s="293"/>
      <c r="S43" s="1257">
        <f>INDEX(PT_DIFFERENTIATION_NUM_NTAR,MATCH(A43,PT_DIFFERENTIATION_NTAR_ID,0))</f>
        <v>0</v>
      </c>
      <c r="T43" s="236" t="s">
        <v>155</v>
      </c>
      <c r="U43" s="238"/>
      <c r="V43" s="5463"/>
      <c r="W43" s="5464"/>
      <c r="X43" s="5464"/>
      <c r="Y43" s="5464"/>
      <c r="Z43" s="5464"/>
      <c r="AA43" s="5464"/>
      <c r="AB43" s="5464"/>
      <c r="AC43" s="5465"/>
      <c r="AD43" s="5463" t="str">
        <f>INDEX(PT_DIFFERENTIATION_NTAR,MATCH(A43,PT_DIFFERENTIATION_NTAR_ID,0))</f>
        <v/>
      </c>
      <c r="AE43" s="5464"/>
      <c r="AF43" s="5464"/>
      <c r="AG43" s="5464"/>
      <c r="AH43" s="5464"/>
      <c r="AI43" s="5464"/>
      <c r="AJ43" s="5464"/>
      <c r="AK43" s="5464"/>
      <c r="AL43" s="5465"/>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76">
        <v>21</v>
      </c>
    </row>
    <row r="44" spans="1:45" ht="21.95" customHeight="1">
      <c r="A44" s="1284" t="s">
        <v>211</v>
      </c>
      <c r="B44" s="1284" t="s">
        <v>212</v>
      </c>
      <c r="C44" s="1284"/>
      <c r="D44" s="1284"/>
      <c r="E44" s="5470"/>
      <c r="F44" s="5469">
        <v>1</v>
      </c>
      <c r="G44" s="1284"/>
      <c r="H44" s="1284"/>
      <c r="I44" s="1284"/>
      <c r="J44" s="1284"/>
      <c r="K44" s="1284"/>
      <c r="L44" s="1285"/>
      <c r="M44" s="1286"/>
      <c r="N44" s="1286"/>
      <c r="O44" s="1286"/>
      <c r="P44" s="1253"/>
      <c r="Q44" s="290"/>
      <c r="R44" s="291"/>
      <c r="S44" s="1257" t="str">
        <f>INDEX(PT_DIFFERENTIATION_NUM_TER,MATCH(B44,PT_DIFFERENTIATION_TER_ID,0))</f>
        <v>.</v>
      </c>
      <c r="T44" s="246" t="s">
        <v>490</v>
      </c>
      <c r="U44" s="238"/>
      <c r="V44" s="5463"/>
      <c r="W44" s="5464"/>
      <c r="X44" s="5464"/>
      <c r="Y44" s="5464"/>
      <c r="Z44" s="5464"/>
      <c r="AA44" s="5464"/>
      <c r="AB44" s="5464"/>
      <c r="AC44" s="5465"/>
      <c r="AD44" s="5463" t="str">
        <f>INDEX(PT_DIFFERENTIATION_TER,MATCH(B44,PT_DIFFERENTIATION_TER_ID,0))</f>
        <v/>
      </c>
      <c r="AE44" s="5464"/>
      <c r="AF44" s="5464"/>
      <c r="AG44" s="5464"/>
      <c r="AH44" s="5464"/>
      <c r="AI44" s="5464"/>
      <c r="AJ44" s="5464"/>
      <c r="AK44" s="5464"/>
      <c r="AL44" s="5465"/>
      <c r="AM44" s="1179" t="s">
        <v>491</v>
      </c>
      <c r="AO44" s="438"/>
      <c r="AP44" s="438" t="str">
        <f t="shared" si="1"/>
        <v>Территория действия тарифа</v>
      </c>
      <c r="AQ44" s="438"/>
      <c r="AR44" s="438"/>
      <c r="AS44" s="1076">
        <v>21</v>
      </c>
    </row>
    <row r="45" spans="1:45" ht="24" customHeight="1">
      <c r="A45" s="1284" t="s">
        <v>211</v>
      </c>
      <c r="B45" s="1284" t="s">
        <v>212</v>
      </c>
      <c r="C45" s="1284" t="s">
        <v>213</v>
      </c>
      <c r="D45" s="1284"/>
      <c r="E45" s="5470"/>
      <c r="F45" s="5470"/>
      <c r="G45" s="5469">
        <v>1</v>
      </c>
      <c r="H45" s="1284"/>
      <c r="I45" s="1284"/>
      <c r="J45" s="1284"/>
      <c r="K45" s="1284"/>
      <c r="L45" s="1285"/>
      <c r="M45" s="1286"/>
      <c r="N45" s="1286"/>
      <c r="O45" s="1286"/>
      <c r="P45" s="292"/>
      <c r="Q45" s="290"/>
      <c r="R45" s="291"/>
      <c r="S45" s="1257" t="str">
        <f>INDEX(PT_DIFFERENTIATION_NUM_CS,MATCH(C45,PT_DIFFERENTIATION_CS_ID,0))</f>
        <v>..</v>
      </c>
      <c r="T45" s="247" t="s">
        <v>492</v>
      </c>
      <c r="U45" s="238"/>
      <c r="V45" s="5463"/>
      <c r="W45" s="5464"/>
      <c r="X45" s="5464"/>
      <c r="Y45" s="5464"/>
      <c r="Z45" s="5464"/>
      <c r="AA45" s="5464"/>
      <c r="AB45" s="5464"/>
      <c r="AC45" s="5465"/>
      <c r="AD45" s="5463" t="str">
        <f>INDEX(PT_DIFFERENTIATION_CS,MATCH(C45,PT_DIFFERENTIATION_CS_ID,0))</f>
        <v/>
      </c>
      <c r="AE45" s="5464"/>
      <c r="AF45" s="5464"/>
      <c r="AG45" s="5464"/>
      <c r="AH45" s="5464"/>
      <c r="AI45" s="5464"/>
      <c r="AJ45" s="5464"/>
      <c r="AK45" s="5464"/>
      <c r="AL45" s="5465"/>
      <c r="AM45" s="1179" t="s">
        <v>493</v>
      </c>
      <c r="AO45" s="438"/>
      <c r="AP45" s="438" t="str">
        <f t="shared" si="1"/>
        <v xml:space="preserve">Наименование системы теплоснабжения </v>
      </c>
      <c r="AQ45" s="438"/>
      <c r="AR45" s="438"/>
      <c r="AS45" s="1076">
        <v>23</v>
      </c>
    </row>
    <row r="46" spans="1:45" ht="21.95" customHeight="1">
      <c r="A46" s="1284" t="s">
        <v>211</v>
      </c>
      <c r="B46" s="1284" t="s">
        <v>212</v>
      </c>
      <c r="C46" s="1284" t="s">
        <v>213</v>
      </c>
      <c r="D46" s="1284" t="s">
        <v>214</v>
      </c>
      <c r="E46" s="5470"/>
      <c r="F46" s="5470"/>
      <c r="G46" s="5470"/>
      <c r="H46" s="5469">
        <v>1</v>
      </c>
      <c r="I46" s="1284"/>
      <c r="J46" s="1284"/>
      <c r="K46" s="1284"/>
      <c r="L46" s="1285"/>
      <c r="M46" s="1286"/>
      <c r="N46" s="1286"/>
      <c r="O46" s="1286"/>
      <c r="P46" s="292"/>
      <c r="Q46" s="290"/>
      <c r="R46" s="291"/>
      <c r="S46" s="1257" t="str">
        <f>INDEX(PT_DIFFERENTIATION_NUM_IST_TE,MATCH(D46,PT_DIFFERENTIATION_IST_TE_ID,0))</f>
        <v>...</v>
      </c>
      <c r="T46" s="248" t="s">
        <v>494</v>
      </c>
      <c r="U46" s="238"/>
      <c r="V46" s="5463"/>
      <c r="W46" s="5464"/>
      <c r="X46" s="5464"/>
      <c r="Y46" s="5464"/>
      <c r="Z46" s="5464"/>
      <c r="AA46" s="5464"/>
      <c r="AB46" s="5464"/>
      <c r="AC46" s="5465"/>
      <c r="AD46" s="5463" t="str">
        <f>INDEX(PT_DIFFERENTIATION_IST_TE,MATCH(D46,PT_DIFFERENTIATION_IST_TE_ID,0))</f>
        <v/>
      </c>
      <c r="AE46" s="5464"/>
      <c r="AF46" s="5464"/>
      <c r="AG46" s="5464"/>
      <c r="AH46" s="5464"/>
      <c r="AI46" s="5464"/>
      <c r="AJ46" s="5464"/>
      <c r="AK46" s="5464"/>
      <c r="AL46" s="5465"/>
      <c r="AM46" s="1179" t="s">
        <v>495</v>
      </c>
      <c r="AO46" s="438"/>
      <c r="AP46" s="438" t="str">
        <f t="shared" si="1"/>
        <v xml:space="preserve">Источник тепловой энергии  </v>
      </c>
      <c r="AQ46" s="438"/>
      <c r="AR46" s="438"/>
      <c r="AS46" s="1076">
        <v>21</v>
      </c>
    </row>
    <row r="47" spans="1:45" s="4275" customFormat="1" ht="0" hidden="1" customHeight="1">
      <c r="A47" s="1264" t="s">
        <v>211</v>
      </c>
      <c r="B47" s="1264" t="s">
        <v>212</v>
      </c>
      <c r="C47" s="1264" t="s">
        <v>213</v>
      </c>
      <c r="D47" s="1264" t="s">
        <v>214</v>
      </c>
      <c r="E47" s="5470"/>
      <c r="F47" s="5470"/>
      <c r="G47" s="5470"/>
      <c r="H47" s="5470"/>
      <c r="I47" s="5471" t="str">
        <f>S46&amp;".1"</f>
        <v>....1</v>
      </c>
      <c r="J47" s="1264"/>
      <c r="K47" s="1264"/>
      <c r="L47" s="1267" t="s">
        <v>496</v>
      </c>
      <c r="M47" s="448"/>
      <c r="N47" s="448"/>
      <c r="O47" s="448"/>
      <c r="P47" s="5473">
        <v>1</v>
      </c>
      <c r="Q47" s="1252"/>
      <c r="R47" s="294"/>
      <c r="S47" s="967"/>
      <c r="T47" s="1304"/>
      <c r="U47" s="1305"/>
      <c r="V47" s="5500"/>
      <c r="W47" s="5501"/>
      <c r="X47" s="5501"/>
      <c r="Y47" s="5501"/>
      <c r="Z47" s="5501"/>
      <c r="AA47" s="5501"/>
      <c r="AB47" s="5501"/>
      <c r="AC47" s="5502"/>
      <c r="AD47" s="5500"/>
      <c r="AE47" s="5501"/>
      <c r="AF47" s="5501"/>
      <c r="AG47" s="5501"/>
      <c r="AH47" s="5501"/>
      <c r="AI47" s="5501"/>
      <c r="AJ47" s="5501"/>
      <c r="AK47" s="5501"/>
      <c r="AL47" s="5502"/>
      <c r="AM47" s="1306"/>
      <c r="AO47" s="438"/>
      <c r="AP47" s="438" t="str">
        <f t="shared" si="1"/>
        <v/>
      </c>
      <c r="AQ47" s="438"/>
      <c r="AR47" s="438"/>
      <c r="AS47" s="449">
        <v>0</v>
      </c>
    </row>
    <row r="48" spans="1:45" ht="21.95" customHeight="1">
      <c r="A48" s="1284" t="s">
        <v>211</v>
      </c>
      <c r="B48" s="1284" t="s">
        <v>212</v>
      </c>
      <c r="C48" s="1284" t="s">
        <v>213</v>
      </c>
      <c r="D48" s="1284" t="s">
        <v>214</v>
      </c>
      <c r="E48" s="5470"/>
      <c r="F48" s="5470"/>
      <c r="G48" s="5470"/>
      <c r="H48" s="5470"/>
      <c r="I48" s="5472"/>
      <c r="J48" s="5471" t="str">
        <f>S46&amp;".1"</f>
        <v>....1</v>
      </c>
      <c r="K48" s="1284"/>
      <c r="L48" s="1285" t="s">
        <v>499</v>
      </c>
      <c r="P48" s="5473"/>
      <c r="Q48" s="5473">
        <v>1</v>
      </c>
      <c r="R48" s="295"/>
      <c r="S48" s="1257" t="str">
        <f>$J48</f>
        <v>....1</v>
      </c>
      <c r="T48" s="224" t="s">
        <v>500</v>
      </c>
      <c r="U48" s="238"/>
      <c r="V48" s="5457"/>
      <c r="W48" s="5458"/>
      <c r="X48" s="5458"/>
      <c r="Y48" s="5458"/>
      <c r="Z48" s="5458"/>
      <c r="AA48" s="5458"/>
      <c r="AB48" s="5458"/>
      <c r="AC48" s="5459"/>
      <c r="AD48" s="5457"/>
      <c r="AE48" s="5458"/>
      <c r="AF48" s="5458"/>
      <c r="AG48" s="5458"/>
      <c r="AH48" s="5458"/>
      <c r="AI48" s="5458"/>
      <c r="AJ48" s="5458"/>
      <c r="AK48" s="5458"/>
      <c r="AL48" s="5459"/>
      <c r="AM48" s="1179" t="s">
        <v>501</v>
      </c>
      <c r="AO48" s="438"/>
      <c r="AP48" s="438" t="str">
        <f t="shared" si="1"/>
        <v>Группа потребителей</v>
      </c>
      <c r="AQ48" s="438"/>
      <c r="AR48" s="438"/>
      <c r="AS48" s="1076">
        <v>21</v>
      </c>
    </row>
    <row r="49" spans="1:45" ht="21.95" customHeight="1">
      <c r="A49" s="1284" t="s">
        <v>211</v>
      </c>
      <c r="B49" s="1284" t="s">
        <v>212</v>
      </c>
      <c r="C49" s="1284" t="s">
        <v>213</v>
      </c>
      <c r="D49" s="1284" t="s">
        <v>214</v>
      </c>
      <c r="E49" s="5470"/>
      <c r="F49" s="5470"/>
      <c r="G49" s="5470"/>
      <c r="H49" s="5470"/>
      <c r="I49" s="5472"/>
      <c r="J49" s="5472"/>
      <c r="K49" s="5471" t="str">
        <f>J48&amp;".1"</f>
        <v>....1.1</v>
      </c>
      <c r="L49" s="1285" t="s">
        <v>502</v>
      </c>
      <c r="P49" s="5473"/>
      <c r="Q49" s="5473"/>
      <c r="R49" s="295">
        <v>1</v>
      </c>
      <c r="S49" s="1257" t="str">
        <f>$K49</f>
        <v>....1.1</v>
      </c>
      <c r="T49" s="1268"/>
      <c r="U49" s="238"/>
      <c r="V49" s="689"/>
      <c r="W49" s="263"/>
      <c r="X49" s="689"/>
      <c r="Y49" s="1178"/>
      <c r="Z49" s="5474"/>
      <c r="AA49" s="5338" t="s">
        <v>66</v>
      </c>
      <c r="AB49" s="5474"/>
      <c r="AC49" s="5338" t="s">
        <v>66</v>
      </c>
      <c r="AD49" s="689"/>
      <c r="AE49" s="263"/>
      <c r="AF49" s="689"/>
      <c r="AG49" s="1178"/>
      <c r="AH49" s="5474"/>
      <c r="AI49" s="5338" t="s">
        <v>66</v>
      </c>
      <c r="AJ49" s="5476"/>
      <c r="AK49" s="5338" t="s">
        <v>66</v>
      </c>
      <c r="AL49" s="1269"/>
      <c r="AM49" s="5492" t="s">
        <v>541</v>
      </c>
      <c r="AN49" s="449" t="e">
        <f ca="1">STRCHECKDATE(V50:AL50)</f>
        <v>#NAME?</v>
      </c>
      <c r="AO49" s="438"/>
      <c r="AP49" s="438" t="str">
        <f t="shared" si="1"/>
        <v/>
      </c>
      <c r="AQ49" s="438"/>
      <c r="AR49" s="438"/>
      <c r="AS49" s="1076">
        <v>21</v>
      </c>
    </row>
    <row r="50" spans="1:45" ht="1.1499999999999999" customHeight="1">
      <c r="A50" s="1284" t="s">
        <v>211</v>
      </c>
      <c r="B50" s="1284" t="s">
        <v>212</v>
      </c>
      <c r="C50" s="1284" t="s">
        <v>213</v>
      </c>
      <c r="D50" s="1284" t="s">
        <v>214</v>
      </c>
      <c r="E50" s="5470"/>
      <c r="F50" s="5470"/>
      <c r="G50" s="5470"/>
      <c r="H50" s="5470"/>
      <c r="I50" s="5472"/>
      <c r="J50" s="5472"/>
      <c r="K50" s="5471"/>
      <c r="L50" s="1285"/>
      <c r="P50" s="5473"/>
      <c r="Q50" s="5473"/>
      <c r="R50" s="295"/>
      <c r="S50" s="1263"/>
      <c r="T50" s="238"/>
      <c r="U50" s="238"/>
      <c r="V50" s="263"/>
      <c r="W50" s="263"/>
      <c r="X50" s="263"/>
      <c r="Y50" s="266" t="str">
        <f>Z49&amp;"-"&amp;AB49</f>
        <v>-</v>
      </c>
      <c r="Z50" s="5475"/>
      <c r="AA50" s="5338"/>
      <c r="AB50" s="5475"/>
      <c r="AC50" s="5338"/>
      <c r="AD50" s="263"/>
      <c r="AE50" s="263"/>
      <c r="AF50" s="263"/>
      <c r="AG50" s="266" t="str">
        <f>AH49&amp;"-"&amp;AJ49</f>
        <v>-</v>
      </c>
      <c r="AH50" s="5475"/>
      <c r="AI50" s="5338"/>
      <c r="AJ50" s="5477"/>
      <c r="AK50" s="5338"/>
      <c r="AL50" s="1270"/>
      <c r="AM50" s="5493"/>
      <c r="AO50" s="438"/>
      <c r="AP50" s="438" t="str">
        <f t="shared" si="1"/>
        <v/>
      </c>
      <c r="AQ50" s="438"/>
      <c r="AR50" s="438"/>
      <c r="AS50" s="1076">
        <v>1</v>
      </c>
    </row>
    <row r="51" spans="1:45" ht="11.45" customHeight="1">
      <c r="A51" s="1284" t="s">
        <v>211</v>
      </c>
      <c r="B51" s="1284" t="s">
        <v>212</v>
      </c>
      <c r="C51" s="1284" t="s">
        <v>213</v>
      </c>
      <c r="D51" s="1284" t="s">
        <v>214</v>
      </c>
      <c r="E51" s="5470"/>
      <c r="F51" s="5470"/>
      <c r="G51" s="5470"/>
      <c r="H51" s="5470"/>
      <c r="I51" s="5472"/>
      <c r="J51" s="5471"/>
      <c r="K51" s="1284"/>
      <c r="L51" s="1285"/>
      <c r="P51" s="5473"/>
      <c r="Q51" s="5473"/>
      <c r="R51" s="294"/>
      <c r="S51" s="1199"/>
      <c r="T51" s="225" t="s">
        <v>504</v>
      </c>
      <c r="U51" s="305"/>
      <c r="V51" s="305"/>
      <c r="W51" s="305"/>
      <c r="X51" s="305"/>
      <c r="Y51" s="305"/>
      <c r="Z51" s="305"/>
      <c r="AA51" s="305"/>
      <c r="AB51" s="305"/>
      <c r="AC51" s="305"/>
      <c r="AD51" s="305"/>
      <c r="AE51" s="305"/>
      <c r="AF51" s="305"/>
      <c r="AG51" s="305"/>
      <c r="AH51" s="305"/>
      <c r="AI51" s="305"/>
      <c r="AJ51" s="305"/>
      <c r="AK51" s="305"/>
      <c r="AL51" s="262"/>
      <c r="AM51" s="5494"/>
      <c r="AO51" s="438"/>
      <c r="AP51" s="438" t="str">
        <f t="shared" si="1"/>
        <v>Добавить вид теплоносителя (параметры теплоносителя)</v>
      </c>
      <c r="AQ51" s="438"/>
      <c r="AR51" s="438"/>
      <c r="AS51" s="1076">
        <v>11</v>
      </c>
    </row>
    <row r="52" spans="1:45" ht="11.45" customHeight="1">
      <c r="A52" s="1284" t="s">
        <v>211</v>
      </c>
      <c r="B52" s="1284" t="s">
        <v>212</v>
      </c>
      <c r="C52" s="1284" t="s">
        <v>213</v>
      </c>
      <c r="D52" s="1284" t="s">
        <v>214</v>
      </c>
      <c r="E52" s="5470"/>
      <c r="F52" s="5470"/>
      <c r="G52" s="5470"/>
      <c r="H52" s="5470"/>
      <c r="I52" s="5471"/>
      <c r="J52" s="1284"/>
      <c r="K52" s="1284"/>
      <c r="L52" s="1285"/>
      <c r="P52" s="5473"/>
      <c r="Q52" s="1252"/>
      <c r="R52" s="294"/>
      <c r="S52" s="1199"/>
      <c r="T52" s="303" t="s">
        <v>505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76">
        <v>11</v>
      </c>
    </row>
    <row r="53" spans="1:45" ht="0" hidden="1" customHeight="1">
      <c r="A53" s="1284" t="s">
        <v>211</v>
      </c>
      <c r="B53" s="1284" t="s">
        <v>212</v>
      </c>
      <c r="C53" s="1284" t="s">
        <v>213</v>
      </c>
      <c r="D53" s="1284" t="s">
        <v>214</v>
      </c>
      <c r="E53" s="5470"/>
      <c r="F53" s="5470"/>
      <c r="G53" s="5470"/>
      <c r="H53" s="5469"/>
      <c r="I53" s="1284"/>
      <c r="J53" s="1284"/>
      <c r="K53" s="1284"/>
      <c r="L53" s="1285"/>
      <c r="M53" s="1286"/>
      <c r="N53" s="1286"/>
      <c r="O53" s="475"/>
      <c r="P53" s="298"/>
      <c r="Q53" s="313"/>
      <c r="R53" s="293"/>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38"/>
      <c r="AP53" s="438" t="str">
        <f t="shared" si="1"/>
        <v/>
      </c>
      <c r="AQ53" s="438"/>
      <c r="AR53" s="438"/>
      <c r="AS53" s="1076">
        <v>0</v>
      </c>
    </row>
    <row r="54" spans="1:45" s="4275" customFormat="1" ht="1.1499999999999999" customHeight="1">
      <c r="A54" s="1264" t="s">
        <v>211</v>
      </c>
      <c r="B54" s="1264" t="s">
        <v>212</v>
      </c>
      <c r="C54" s="1264" t="s">
        <v>213</v>
      </c>
      <c r="D54" s="1235"/>
      <c r="E54" s="5470"/>
      <c r="F54" s="5470"/>
      <c r="G54" s="5469"/>
      <c r="H54" s="1235"/>
      <c r="I54" s="1235"/>
      <c r="J54" s="1235"/>
      <c r="K54" s="1235"/>
      <c r="L54" s="1260"/>
      <c r="M54" s="1236"/>
      <c r="N54" s="1236"/>
      <c r="P54" s="1237"/>
      <c r="Q54" s="1238"/>
      <c r="R54" s="1237"/>
      <c r="S54" s="1243"/>
      <c r="T54" s="1246" t="s">
        <v>507</v>
      </c>
      <c r="U54" s="1245"/>
      <c r="V54" s="1245"/>
      <c r="W54" s="1245"/>
      <c r="X54" s="1245"/>
      <c r="Y54" s="1245"/>
      <c r="Z54" s="1245"/>
      <c r="AA54" s="1245"/>
      <c r="AB54" s="1245"/>
      <c r="AC54" s="1245"/>
      <c r="AD54" s="1245"/>
      <c r="AE54" s="1245"/>
      <c r="AF54" s="1245"/>
      <c r="AG54" s="1245"/>
      <c r="AH54" s="1245"/>
      <c r="AI54" s="1245"/>
      <c r="AJ54" s="1245"/>
      <c r="AK54" s="1245"/>
      <c r="AL54" s="1245"/>
      <c r="AM54" s="1245"/>
      <c r="AO54" s="721"/>
      <c r="AP54" s="721" t="str">
        <f t="shared" si="1"/>
        <v>Добавить источник для дифференциации</v>
      </c>
      <c r="AQ54" s="721"/>
      <c r="AR54" s="721"/>
      <c r="AS54" s="456">
        <v>1</v>
      </c>
    </row>
    <row r="55" spans="1:45" s="4275" customFormat="1" ht="1.1499999999999999" customHeight="1">
      <c r="A55" s="1264" t="s">
        <v>211</v>
      </c>
      <c r="B55" s="1264" t="s">
        <v>212</v>
      </c>
      <c r="C55" s="1235"/>
      <c r="D55" s="1235"/>
      <c r="E55" s="5470"/>
      <c r="F55" s="5469"/>
      <c r="G55" s="1235"/>
      <c r="H55" s="1235"/>
      <c r="I55" s="1235"/>
      <c r="J55" s="1235"/>
      <c r="K55" s="1235"/>
      <c r="L55" s="1260"/>
      <c r="M55" s="1242"/>
      <c r="N55" s="1242"/>
      <c r="P55" s="1237"/>
      <c r="Q55" s="1238"/>
      <c r="R55" s="1237"/>
      <c r="S55" s="1243"/>
      <c r="T55" s="1246" t="s">
        <v>312</v>
      </c>
      <c r="U55" s="1245"/>
      <c r="V55" s="1245"/>
      <c r="W55" s="1245"/>
      <c r="X55" s="1245"/>
      <c r="Y55" s="1245"/>
      <c r="Z55" s="1245"/>
      <c r="AA55" s="1245"/>
      <c r="AB55" s="1245"/>
      <c r="AC55" s="1245"/>
      <c r="AD55" s="1245"/>
      <c r="AE55" s="1245"/>
      <c r="AF55" s="1245"/>
      <c r="AG55" s="1245"/>
      <c r="AH55" s="1245"/>
      <c r="AI55" s="1245"/>
      <c r="AJ55" s="1245"/>
      <c r="AK55" s="1245"/>
      <c r="AL55" s="1245"/>
      <c r="AM55" s="1245"/>
      <c r="AO55" s="721"/>
      <c r="AP55" s="721" t="str">
        <f t="shared" si="1"/>
        <v>Добавить централизованную систему для дифференциации</v>
      </c>
      <c r="AQ55" s="721"/>
      <c r="AR55" s="721"/>
      <c r="AS55" s="456">
        <v>1</v>
      </c>
    </row>
    <row r="56" spans="1:45" s="4275" customFormat="1" ht="1.1499999999999999" customHeight="1">
      <c r="A56" s="1264" t="s">
        <v>211</v>
      </c>
      <c r="B56" s="1264"/>
      <c r="C56" s="1264"/>
      <c r="D56" s="1264"/>
      <c r="E56" s="5469"/>
      <c r="F56" s="1264"/>
      <c r="G56" s="1264"/>
      <c r="H56" s="1264"/>
      <c r="I56" s="1264"/>
      <c r="J56" s="1264"/>
      <c r="K56" s="1264"/>
      <c r="L56" s="1267"/>
      <c r="M56" s="1242"/>
      <c r="N56" s="1242"/>
      <c r="O56" s="456"/>
      <c r="P56" s="318"/>
      <c r="Q56" s="1265"/>
      <c r="R56" s="318"/>
      <c r="S56" s="1243"/>
      <c r="T56" s="1246" t="s">
        <v>360</v>
      </c>
      <c r="U56" s="1245"/>
      <c r="V56" s="1245"/>
      <c r="W56" s="1245"/>
      <c r="X56" s="1245"/>
      <c r="Y56" s="1245"/>
      <c r="Z56" s="1245"/>
      <c r="AA56" s="1245"/>
      <c r="AB56" s="1245"/>
      <c r="AC56" s="1245"/>
      <c r="AD56" s="1245"/>
      <c r="AE56" s="1245"/>
      <c r="AF56" s="1245"/>
      <c r="AG56" s="1245"/>
      <c r="AH56" s="1245"/>
      <c r="AI56" s="1245"/>
      <c r="AJ56" s="1245"/>
      <c r="AK56" s="1245"/>
      <c r="AL56" s="1245"/>
      <c r="AM56" s="1245"/>
      <c r="AO56" s="438"/>
      <c r="AP56" s="438" t="str">
        <f t="shared" si="1"/>
        <v>Добавить территорию для дифференциации</v>
      </c>
      <c r="AQ56" s="438"/>
      <c r="AR56" s="438"/>
      <c r="AS56" s="449">
        <v>1</v>
      </c>
    </row>
    <row r="57" spans="1:45" s="4275" customFormat="1" ht="1.1499999999999999" customHeight="1">
      <c r="A57" s="1235"/>
      <c r="B57" s="1235"/>
      <c r="C57" s="1235"/>
      <c r="D57" s="1235"/>
      <c r="E57" s="1264"/>
      <c r="F57" s="1235"/>
      <c r="G57" s="1235"/>
      <c r="H57" s="1235"/>
      <c r="I57" s="1235"/>
      <c r="J57" s="1235"/>
      <c r="K57" s="1235"/>
      <c r="L57" s="1260"/>
      <c r="M57" s="1242"/>
      <c r="N57" s="1242"/>
      <c r="P57" s="1237"/>
      <c r="Q57" s="1238"/>
      <c r="R57" s="1237"/>
      <c r="S57" s="1243"/>
      <c r="T57" s="1246" t="s">
        <v>361</v>
      </c>
      <c r="U57" s="1245"/>
      <c r="V57" s="1245"/>
      <c r="W57" s="1245"/>
      <c r="X57" s="1245"/>
      <c r="Y57" s="1245"/>
      <c r="Z57" s="1245"/>
      <c r="AA57" s="1245"/>
      <c r="AB57" s="1245"/>
      <c r="AC57" s="1245"/>
      <c r="AD57" s="1245"/>
      <c r="AE57" s="1245"/>
      <c r="AF57" s="1245"/>
      <c r="AG57" s="1245"/>
      <c r="AH57" s="1245"/>
      <c r="AI57" s="1245"/>
      <c r="AJ57" s="1245"/>
      <c r="AK57" s="1245"/>
      <c r="AL57" s="1245"/>
      <c r="AM57" s="1245"/>
      <c r="AO57" s="721"/>
      <c r="AP57" s="721" t="str">
        <f t="shared" si="1"/>
        <v>Добавить наименование тарифа</v>
      </c>
      <c r="AQ57" s="721"/>
      <c r="AR57" s="721"/>
      <c r="AS57" s="456">
        <v>1</v>
      </c>
    </row>
    <row r="58" spans="1:45" ht="11.45" customHeight="1">
      <c r="M58" s="1081"/>
      <c r="N58" s="1081"/>
      <c r="O58" s="475"/>
      <c r="P58" s="1076"/>
      <c r="Q58" s="1076"/>
      <c r="R58" s="1076"/>
      <c r="S58" s="1076"/>
      <c r="AN58" s="1076"/>
      <c r="AO58" s="1076"/>
      <c r="AP58" s="1076"/>
      <c r="AQ58" s="1076"/>
      <c r="AR58" s="1076"/>
      <c r="AS58" s="1076">
        <v>11</v>
      </c>
    </row>
    <row r="59" spans="1:45" ht="23.25" customHeight="1">
      <c r="O59" s="475"/>
      <c r="S59" s="1174"/>
      <c r="T59" s="5468"/>
      <c r="U59" s="5468"/>
      <c r="V59" s="5468"/>
      <c r="W59" s="5468"/>
      <c r="X59" s="5468"/>
      <c r="Y59" s="5468"/>
      <c r="Z59" s="5468"/>
      <c r="AA59" s="5468"/>
      <c r="AB59" s="5468"/>
      <c r="AC59" s="5468"/>
      <c r="AD59" s="5468"/>
      <c r="AE59" s="5468"/>
      <c r="AF59" s="5468"/>
      <c r="AG59" s="5468"/>
      <c r="AH59" s="5468"/>
      <c r="AI59" s="5468"/>
      <c r="AJ59" s="5468"/>
      <c r="AK59" s="5468"/>
      <c r="AL59" s="5468"/>
      <c r="AM59" s="5468"/>
      <c r="AS59" s="1076">
        <v>22</v>
      </c>
    </row>
    <row r="60" spans="1:45" ht="30.4" customHeight="1">
      <c r="O60" s="475"/>
      <c r="T60" s="5468"/>
      <c r="U60" s="5468"/>
      <c r="V60" s="5468"/>
      <c r="W60" s="5468"/>
      <c r="X60" s="5468"/>
      <c r="Y60" s="5468"/>
      <c r="Z60" s="5468"/>
      <c r="AA60" s="5468"/>
      <c r="AB60" s="5468"/>
      <c r="AC60" s="5468"/>
      <c r="AD60" s="5468"/>
      <c r="AE60" s="5468"/>
      <c r="AF60" s="5468"/>
      <c r="AG60" s="5468"/>
      <c r="AH60" s="5468"/>
      <c r="AI60" s="5468"/>
      <c r="AJ60" s="5468"/>
      <c r="AK60" s="5468"/>
      <c r="AL60" s="5468"/>
      <c r="AM60" s="5468"/>
      <c r="AS60" s="1076">
        <v>29</v>
      </c>
    </row>
    <row r="61" spans="1:45" ht="42" customHeight="1">
      <c r="O61" s="475"/>
      <c r="T61" s="5468"/>
      <c r="U61" s="5468"/>
      <c r="V61" s="5468"/>
      <c r="W61" s="5468"/>
      <c r="X61" s="5468"/>
      <c r="Y61" s="5468"/>
      <c r="Z61" s="5468"/>
      <c r="AA61" s="5468"/>
      <c r="AB61" s="5468"/>
      <c r="AC61" s="5468"/>
      <c r="AD61" s="5468"/>
      <c r="AE61" s="5468"/>
      <c r="AF61" s="5468"/>
      <c r="AG61" s="5468"/>
      <c r="AH61" s="5468"/>
      <c r="AI61" s="5468"/>
      <c r="AJ61" s="5468"/>
      <c r="AK61" s="5468"/>
      <c r="AL61" s="5468"/>
      <c r="AM61" s="5468"/>
      <c r="AS61" s="1076">
        <v>40</v>
      </c>
    </row>
    <row r="62" spans="1:45" ht="14.65" customHeight="1">
      <c r="O62" s="475"/>
      <c r="AS62" s="1076">
        <v>14</v>
      </c>
    </row>
    <row r="63" spans="1:45" ht="21" customHeight="1">
      <c r="O63" s="475"/>
      <c r="S63" s="1174"/>
      <c r="T63" s="5373"/>
      <c r="U63" s="5468"/>
      <c r="V63" s="5468"/>
      <c r="W63" s="5468"/>
      <c r="X63" s="5468"/>
      <c r="Y63" s="5468"/>
      <c r="Z63" s="5468"/>
      <c r="AA63" s="5468"/>
      <c r="AB63" s="5468"/>
      <c r="AC63" s="5468"/>
      <c r="AD63" s="5468"/>
      <c r="AE63" s="5468"/>
      <c r="AF63" s="5468"/>
      <c r="AG63" s="5468"/>
      <c r="AH63" s="5468"/>
      <c r="AI63" s="5468"/>
      <c r="AJ63" s="5468"/>
      <c r="AK63" s="5468"/>
      <c r="AL63" s="5468"/>
      <c r="AM63" s="5468"/>
      <c r="AS63" s="1076">
        <v>20</v>
      </c>
    </row>
    <row r="64" spans="1:45" ht="29.25" customHeight="1">
      <c r="O64" s="475"/>
      <c r="T64" s="5468"/>
      <c r="U64" s="5468"/>
      <c r="V64" s="5468"/>
      <c r="W64" s="5468"/>
      <c r="X64" s="5468"/>
      <c r="Y64" s="5468"/>
      <c r="Z64" s="5468"/>
      <c r="AA64" s="5468"/>
      <c r="AB64" s="5468"/>
      <c r="AC64" s="5468"/>
      <c r="AD64" s="5468"/>
      <c r="AE64" s="5468"/>
      <c r="AF64" s="5468"/>
      <c r="AG64" s="5468"/>
      <c r="AH64" s="5468"/>
      <c r="AI64" s="5468"/>
      <c r="AJ64" s="5468"/>
      <c r="AK64" s="5468"/>
      <c r="AL64" s="5468"/>
      <c r="AM64" s="5468"/>
      <c r="AS64" s="1076">
        <v>28</v>
      </c>
    </row>
    <row r="65" spans="1:45" ht="35.65" customHeight="1">
      <c r="T65" s="5468"/>
      <c r="U65" s="5468"/>
      <c r="V65" s="5468"/>
      <c r="W65" s="5468"/>
      <c r="X65" s="5468"/>
      <c r="Y65" s="5468"/>
      <c r="Z65" s="5468"/>
      <c r="AA65" s="5468"/>
      <c r="AB65" s="5468"/>
      <c r="AC65" s="5468"/>
      <c r="AD65" s="5468"/>
      <c r="AE65" s="5468"/>
      <c r="AF65" s="5468"/>
      <c r="AG65" s="5468"/>
      <c r="AH65" s="5468"/>
      <c r="AI65" s="5468"/>
      <c r="AJ65" s="5468"/>
      <c r="AK65" s="5468"/>
      <c r="AL65" s="5468"/>
      <c r="AM65" s="5468"/>
      <c r="AS65" s="1076">
        <v>34</v>
      </c>
    </row>
    <row r="66" spans="1:45" ht="22.5" hidden="1" customHeight="1">
      <c r="A66" s="1081" t="s">
        <v>82</v>
      </c>
      <c r="B66" s="1081">
        <v>0</v>
      </c>
      <c r="C66" s="1081">
        <v>0</v>
      </c>
      <c r="D66" s="1081">
        <v>0</v>
      </c>
      <c r="E66" s="1081">
        <v>0</v>
      </c>
      <c r="F66" s="1081">
        <v>0</v>
      </c>
      <c r="G66" s="1081">
        <v>0</v>
      </c>
      <c r="H66" s="1081">
        <v>0</v>
      </c>
      <c r="I66" s="1081">
        <v>0</v>
      </c>
      <c r="J66" s="1081">
        <v>0</v>
      </c>
      <c r="K66" s="1081">
        <v>0</v>
      </c>
      <c r="L66" s="1250">
        <v>0</v>
      </c>
      <c r="M66" s="1283">
        <v>0</v>
      </c>
      <c r="N66" s="1283">
        <v>0</v>
      </c>
      <c r="O66" s="1283">
        <v>0</v>
      </c>
      <c r="P66" s="1249">
        <v>0</v>
      </c>
      <c r="Q66" s="282">
        <v>3</v>
      </c>
      <c r="R66" s="282">
        <v>3</v>
      </c>
      <c r="S66" s="519">
        <v>12</v>
      </c>
      <c r="T66" s="1076">
        <v>31</v>
      </c>
      <c r="U66" s="1076">
        <v>0</v>
      </c>
      <c r="V66" s="1076">
        <v>0</v>
      </c>
      <c r="W66" s="1076">
        <v>0</v>
      </c>
      <c r="X66" s="1076">
        <v>0</v>
      </c>
      <c r="Y66" s="1076">
        <v>0</v>
      </c>
      <c r="Z66" s="1076">
        <v>0</v>
      </c>
      <c r="AA66" s="1076">
        <v>0</v>
      </c>
      <c r="AB66" s="1076">
        <v>0</v>
      </c>
      <c r="AC66" s="1076">
        <v>0</v>
      </c>
      <c r="AD66" s="1076">
        <v>24</v>
      </c>
      <c r="AE66" s="1076">
        <v>0</v>
      </c>
      <c r="AF66" s="1076">
        <v>24</v>
      </c>
      <c r="AG66" s="1076">
        <v>24</v>
      </c>
      <c r="AH66" s="1076">
        <v>11</v>
      </c>
      <c r="AI66" s="1076">
        <v>3</v>
      </c>
      <c r="AJ66" s="1076">
        <v>11</v>
      </c>
      <c r="AK66" s="1076">
        <v>0</v>
      </c>
      <c r="AL66" s="1076">
        <v>4</v>
      </c>
      <c r="AM66" s="1076">
        <v>115</v>
      </c>
      <c r="AN66" s="449">
        <v>10</v>
      </c>
      <c r="AO66" s="449">
        <v>10</v>
      </c>
      <c r="AP66" s="449">
        <v>10</v>
      </c>
      <c r="AQ66" s="449">
        <v>10</v>
      </c>
      <c r="AR66" s="449">
        <v>10</v>
      </c>
      <c r="AS66" s="1076">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7109375" style="4302" hidden="1" customWidth="1"/>
    <col min="17" max="18" width="3" style="4303" customWidth="1"/>
    <col min="19" max="19" width="12" style="4304" customWidth="1"/>
    <col min="20" max="20" width="31" style="4267" customWidth="1"/>
    <col min="21" max="21" width="0.140625" style="4267" customWidth="1"/>
    <col min="22" max="22" width="24.7109375" style="4267" hidden="1" customWidth="1"/>
    <col min="23" max="23" width="0.140625" style="4267" hidden="1" customWidth="1"/>
    <col min="24" max="25" width="24.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24.7109375" style="4267" customWidth="1"/>
    <col min="31" max="31" width="0.140625" style="4267" customWidth="1"/>
    <col min="32" max="33" width="24" style="4267" customWidth="1"/>
    <col min="34" max="34" width="11" style="4267" customWidth="1"/>
    <col min="35" max="35" width="3.7109375" style="4267" customWidth="1"/>
    <col min="36" max="36" width="11" style="4267" customWidth="1"/>
    <col min="37" max="37" width="8.5703125" style="4267" hidden="1" customWidth="1"/>
    <col min="38" max="38" width="4" style="4267" customWidth="1"/>
    <col min="39" max="39" width="115" style="4267" customWidth="1"/>
    <col min="40" max="44" width="10" style="4275" customWidth="1"/>
    <col min="45" max="45" width="10.5703125" style="4267" hidden="1"/>
  </cols>
  <sheetData>
    <row r="1" spans="1:45" ht="22.5" hidden="1" customHeight="1">
      <c r="Y1" s="265"/>
      <c r="Z1" s="265"/>
      <c r="AG1" s="265"/>
      <c r="AH1" s="265"/>
      <c r="AS1" s="1076" t="s">
        <v>14</v>
      </c>
    </row>
    <row r="2" spans="1:45" ht="21" hidden="1" customHeight="1">
      <c r="A2" s="1284"/>
      <c r="B2" s="1284"/>
      <c r="C2" s="1284"/>
      <c r="D2" s="1284"/>
      <c r="E2" s="5469">
        <v>1</v>
      </c>
      <c r="F2" s="1284"/>
      <c r="G2" s="1284"/>
      <c r="H2" s="1284"/>
      <c r="I2" s="1284"/>
      <c r="J2" s="1284"/>
      <c r="K2" s="1284"/>
      <c r="L2" s="1285"/>
      <c r="M2" s="1286"/>
      <c r="N2" s="1286"/>
      <c r="O2" s="1286"/>
      <c r="P2" s="299"/>
      <c r="Q2" s="298"/>
      <c r="R2" s="293"/>
      <c r="S2" s="1257" t="e">
        <f>INDEX(PT_DIFFERENTIATION_NUM_NTAR,MATCH(A2,PT_DIFFERENTIATION_NTAR_ID,0))</f>
        <v>#N/A</v>
      </c>
      <c r="T2" s="236" t="s">
        <v>155</v>
      </c>
      <c r="U2" s="238"/>
      <c r="V2" s="5463"/>
      <c r="W2" s="5464"/>
      <c r="X2" s="5464"/>
      <c r="Y2" s="5464"/>
      <c r="Z2" s="5464"/>
      <c r="AA2" s="5464"/>
      <c r="AB2" s="5464"/>
      <c r="AC2" s="5465"/>
      <c r="AD2" s="5463" t="e">
        <f>INDEX(PT_DIFFERENTIATION_NTAR,MATCH(A2,PT_DIFFERENTIATION_NTAR_ID,0))</f>
        <v>#N/A</v>
      </c>
      <c r="AE2" s="5464"/>
      <c r="AF2" s="5464"/>
      <c r="AG2" s="5464"/>
      <c r="AH2" s="5464"/>
      <c r="AI2" s="5464"/>
      <c r="AJ2" s="5464"/>
      <c r="AK2" s="5464"/>
      <c r="AL2" s="5465"/>
      <c r="AM2" s="1179" t="s">
        <v>489</v>
      </c>
      <c r="AO2" s="438"/>
      <c r="AP2" s="438" t="str">
        <f t="shared" ref="AP2:AP15" si="0">IF(T2="","",T2)</f>
        <v>Наименование тарифа</v>
      </c>
      <c r="AQ2" s="438"/>
      <c r="AR2" s="438"/>
      <c r="AS2" s="1076">
        <v>0</v>
      </c>
    </row>
    <row r="3" spans="1:45" ht="21" hidden="1" customHeight="1">
      <c r="A3" s="1284"/>
      <c r="B3" s="1284"/>
      <c r="C3" s="1284"/>
      <c r="D3" s="1284"/>
      <c r="E3" s="5470"/>
      <c r="F3" s="5469">
        <v>1</v>
      </c>
      <c r="G3" s="1284"/>
      <c r="H3" s="1284"/>
      <c r="I3" s="1284"/>
      <c r="J3" s="1284"/>
      <c r="K3" s="1284"/>
      <c r="L3" s="1285"/>
      <c r="M3" s="1286"/>
      <c r="N3" s="1286"/>
      <c r="O3" s="1286"/>
      <c r="P3" s="1253"/>
      <c r="Q3" s="290"/>
      <c r="R3" s="291"/>
      <c r="S3" s="1257" t="e">
        <f>INDEX(PT_DIFFERENTIATION_NUM_TER,MATCH(B3,PT_DIFFERENTIATION_TER_ID,0))</f>
        <v>#N/A</v>
      </c>
      <c r="T3" s="246" t="s">
        <v>490</v>
      </c>
      <c r="U3" s="238"/>
      <c r="V3" s="5463"/>
      <c r="W3" s="5464"/>
      <c r="X3" s="5464"/>
      <c r="Y3" s="5464"/>
      <c r="Z3" s="5464"/>
      <c r="AA3" s="5464"/>
      <c r="AB3" s="5464"/>
      <c r="AC3" s="5465"/>
      <c r="AD3" s="5463" t="e">
        <f>INDEX(PT_DIFFERENTIATION_TER,MATCH(B3,PT_DIFFERENTIATION_TER_ID,0))</f>
        <v>#N/A</v>
      </c>
      <c r="AE3" s="5464"/>
      <c r="AF3" s="5464"/>
      <c r="AG3" s="5464"/>
      <c r="AH3" s="5464"/>
      <c r="AI3" s="5464"/>
      <c r="AJ3" s="5464"/>
      <c r="AK3" s="5464"/>
      <c r="AL3" s="5465"/>
      <c r="AM3" s="1179" t="s">
        <v>491</v>
      </c>
      <c r="AO3" s="438"/>
      <c r="AP3" s="438" t="str">
        <f t="shared" si="0"/>
        <v>Территория действия тарифа</v>
      </c>
      <c r="AQ3" s="438"/>
      <c r="AR3" s="438"/>
      <c r="AS3" s="1076">
        <v>0</v>
      </c>
    </row>
    <row r="4" spans="1:45" ht="23.25" hidden="1" customHeight="1">
      <c r="A4" s="1284"/>
      <c r="B4" s="1284"/>
      <c r="C4" s="1284"/>
      <c r="D4" s="1284"/>
      <c r="E4" s="5470"/>
      <c r="F4" s="5470"/>
      <c r="G4" s="5469">
        <v>1</v>
      </c>
      <c r="H4" s="1284"/>
      <c r="I4" s="1284"/>
      <c r="J4" s="1284"/>
      <c r="K4" s="1284"/>
      <c r="L4" s="1285"/>
      <c r="M4" s="1286"/>
      <c r="N4" s="1286"/>
      <c r="O4" s="1286"/>
      <c r="P4" s="292"/>
      <c r="Q4" s="290"/>
      <c r="R4" s="291"/>
      <c r="S4" s="1257" t="e">
        <f>INDEX(PT_DIFFERENTIATION_NUM_CS,MATCH(C4,PT_DIFFERENTIATION_CS_ID,0))</f>
        <v>#N/A</v>
      </c>
      <c r="T4" s="247" t="s">
        <v>492</v>
      </c>
      <c r="U4" s="238"/>
      <c r="V4" s="5463"/>
      <c r="W4" s="5464"/>
      <c r="X4" s="5464"/>
      <c r="Y4" s="5464"/>
      <c r="Z4" s="5464"/>
      <c r="AA4" s="5464"/>
      <c r="AB4" s="5464"/>
      <c r="AC4" s="5465"/>
      <c r="AD4" s="5463" t="e">
        <f>INDEX(PT_DIFFERENTIATION_CS,MATCH(C4,PT_DIFFERENTIATION_CS_ID,0))</f>
        <v>#N/A</v>
      </c>
      <c r="AE4" s="5464"/>
      <c r="AF4" s="5464"/>
      <c r="AG4" s="5464"/>
      <c r="AH4" s="5464"/>
      <c r="AI4" s="5464"/>
      <c r="AJ4" s="5464"/>
      <c r="AK4" s="5464"/>
      <c r="AL4" s="5465"/>
      <c r="AM4" s="1179" t="s">
        <v>493</v>
      </c>
      <c r="AO4" s="438"/>
      <c r="AP4" s="438" t="str">
        <f t="shared" si="0"/>
        <v xml:space="preserve">Наименование системы теплоснабжения </v>
      </c>
      <c r="AQ4" s="438"/>
      <c r="AR4" s="438"/>
      <c r="AS4" s="1076">
        <v>0</v>
      </c>
    </row>
    <row r="5" spans="1:45" ht="21" hidden="1" customHeight="1">
      <c r="A5" s="1284"/>
      <c r="B5" s="1284"/>
      <c r="C5" s="1284"/>
      <c r="D5" s="1284"/>
      <c r="E5" s="5470"/>
      <c r="F5" s="5470"/>
      <c r="G5" s="5470"/>
      <c r="H5" s="5469">
        <v>1</v>
      </c>
      <c r="I5" s="1284"/>
      <c r="J5" s="1284"/>
      <c r="K5" s="1284"/>
      <c r="L5" s="1285"/>
      <c r="M5" s="1286"/>
      <c r="N5" s="1286"/>
      <c r="O5" s="1286"/>
      <c r="P5" s="292"/>
      <c r="Q5" s="290"/>
      <c r="R5" s="291"/>
      <c r="S5" s="1257" t="e">
        <f>INDEX(PT_DIFFERENTIATION_NUM_IST_TE,MATCH(D5,PT_DIFFERENTIATION_IST_TE_ID,0))</f>
        <v>#N/A</v>
      </c>
      <c r="T5" s="248" t="s">
        <v>494</v>
      </c>
      <c r="U5" s="238"/>
      <c r="V5" s="5463"/>
      <c r="W5" s="5464"/>
      <c r="X5" s="5464"/>
      <c r="Y5" s="5464"/>
      <c r="Z5" s="5464"/>
      <c r="AA5" s="5464"/>
      <c r="AB5" s="5464"/>
      <c r="AC5" s="5465"/>
      <c r="AD5" s="5463" t="e">
        <f>INDEX(PT_DIFFERENTIATION_IST_TE,MATCH(D5,PT_DIFFERENTIATION_IST_TE_ID,0))</f>
        <v>#N/A</v>
      </c>
      <c r="AE5" s="5464"/>
      <c r="AF5" s="5464"/>
      <c r="AG5" s="5464"/>
      <c r="AH5" s="5464"/>
      <c r="AI5" s="5464"/>
      <c r="AJ5" s="5464"/>
      <c r="AK5" s="5464"/>
      <c r="AL5" s="5465"/>
      <c r="AM5" s="1179" t="s">
        <v>495</v>
      </c>
      <c r="AO5" s="438"/>
      <c r="AP5" s="438" t="str">
        <f t="shared" si="0"/>
        <v xml:space="preserve">Источник тепловой энергии  </v>
      </c>
      <c r="AQ5" s="438"/>
      <c r="AR5" s="438"/>
      <c r="AS5" s="1076">
        <v>0</v>
      </c>
    </row>
    <row r="6" spans="1:45" ht="14.25" hidden="1" customHeight="1">
      <c r="A6" s="1284"/>
      <c r="B6" s="1284"/>
      <c r="C6" s="1284"/>
      <c r="D6" s="1284"/>
      <c r="E6" s="5470"/>
      <c r="F6" s="5470"/>
      <c r="G6" s="5470"/>
      <c r="H6" s="5470"/>
      <c r="I6" s="5471" t="e">
        <f>S5&amp;".1"</f>
        <v>#N/A</v>
      </c>
      <c r="J6" s="1284"/>
      <c r="K6" s="1284"/>
      <c r="L6" s="1285" t="s">
        <v>496</v>
      </c>
      <c r="M6" s="475"/>
      <c r="P6" s="5473">
        <v>1</v>
      </c>
      <c r="Q6" s="1252"/>
      <c r="R6" s="294"/>
      <c r="S6" s="967"/>
      <c r="T6" s="1304"/>
      <c r="U6" s="1305"/>
      <c r="V6" s="5500"/>
      <c r="W6" s="5501"/>
      <c r="X6" s="5501"/>
      <c r="Y6" s="5501"/>
      <c r="Z6" s="5501"/>
      <c r="AA6" s="5501"/>
      <c r="AB6" s="5501"/>
      <c r="AC6" s="5502"/>
      <c r="AD6" s="5500"/>
      <c r="AE6" s="5501"/>
      <c r="AF6" s="5501"/>
      <c r="AG6" s="5501"/>
      <c r="AH6" s="5501"/>
      <c r="AI6" s="5501"/>
      <c r="AJ6" s="5501"/>
      <c r="AK6" s="5501"/>
      <c r="AL6" s="5502"/>
      <c r="AM6" s="1306"/>
      <c r="AO6" s="438"/>
      <c r="AP6" s="438" t="str">
        <f t="shared" si="0"/>
        <v/>
      </c>
      <c r="AQ6" s="438"/>
      <c r="AR6" s="438"/>
      <c r="AS6" s="1076">
        <v>0</v>
      </c>
    </row>
    <row r="7" spans="1:45" ht="21" hidden="1" customHeight="1">
      <c r="A7" s="1284"/>
      <c r="B7" s="1284"/>
      <c r="C7" s="1284"/>
      <c r="D7" s="1284"/>
      <c r="E7" s="5470"/>
      <c r="F7" s="5470"/>
      <c r="G7" s="5470"/>
      <c r="H7" s="5470"/>
      <c r="I7" s="5472"/>
      <c r="J7" s="5471" t="e">
        <f>I6&amp;".1"</f>
        <v>#N/A</v>
      </c>
      <c r="K7" s="1284"/>
      <c r="L7" s="1285" t="s">
        <v>499</v>
      </c>
      <c r="M7" s="475"/>
      <c r="N7" s="1287"/>
      <c r="P7" s="5473"/>
      <c r="Q7" s="5473">
        <v>1</v>
      </c>
      <c r="R7" s="295"/>
      <c r="S7" s="1257" t="e">
        <f>$J7</f>
        <v>#N/A</v>
      </c>
      <c r="T7" s="224" t="s">
        <v>500</v>
      </c>
      <c r="U7" s="238"/>
      <c r="V7" s="5457"/>
      <c r="W7" s="5458"/>
      <c r="X7" s="5458"/>
      <c r="Y7" s="5458"/>
      <c r="Z7" s="5458"/>
      <c r="AA7" s="5458"/>
      <c r="AB7" s="5458"/>
      <c r="AC7" s="5459"/>
      <c r="AD7" s="5457"/>
      <c r="AE7" s="5458"/>
      <c r="AF7" s="5458"/>
      <c r="AG7" s="5458"/>
      <c r="AH7" s="5458"/>
      <c r="AI7" s="5458"/>
      <c r="AJ7" s="5458"/>
      <c r="AK7" s="5458"/>
      <c r="AL7" s="5459"/>
      <c r="AM7" s="1179" t="s">
        <v>501</v>
      </c>
      <c r="AO7" s="438"/>
      <c r="AP7" s="438" t="str">
        <f t="shared" si="0"/>
        <v>Группа потребителей</v>
      </c>
      <c r="AQ7" s="438"/>
      <c r="AR7" s="438"/>
      <c r="AS7" s="1076">
        <v>0</v>
      </c>
    </row>
    <row r="8" spans="1:45" ht="21" hidden="1" customHeight="1">
      <c r="A8" s="1284"/>
      <c r="B8" s="1284"/>
      <c r="C8" s="1284"/>
      <c r="D8" s="1284"/>
      <c r="E8" s="5470"/>
      <c r="F8" s="5470"/>
      <c r="G8" s="5470"/>
      <c r="H8" s="5470"/>
      <c r="I8" s="5472"/>
      <c r="J8" s="5472"/>
      <c r="K8" s="5471" t="e">
        <f>J7&amp;".1"</f>
        <v>#N/A</v>
      </c>
      <c r="L8" s="1285" t="s">
        <v>502</v>
      </c>
      <c r="M8" s="475"/>
      <c r="N8" s="1287"/>
      <c r="O8" s="1287"/>
      <c r="P8" s="5473"/>
      <c r="Q8" s="5473"/>
      <c r="R8" s="295">
        <v>1</v>
      </c>
      <c r="S8" s="1257" t="e">
        <f>$K8</f>
        <v>#N/A</v>
      </c>
      <c r="T8" s="1268"/>
      <c r="U8" s="238"/>
      <c r="V8" s="689"/>
      <c r="W8" s="263"/>
      <c r="X8" s="689"/>
      <c r="Y8" s="1178"/>
      <c r="Z8" s="5474"/>
      <c r="AA8" s="5338" t="s">
        <v>66</v>
      </c>
      <c r="AB8" s="5474"/>
      <c r="AC8" s="5338" t="s">
        <v>66</v>
      </c>
      <c r="AD8" s="689"/>
      <c r="AE8" s="263"/>
      <c r="AF8" s="689"/>
      <c r="AG8" s="1178"/>
      <c r="AH8" s="5474"/>
      <c r="AI8" s="5338" t="s">
        <v>66</v>
      </c>
      <c r="AJ8" s="5474"/>
      <c r="AK8" s="5338" t="s">
        <v>66</v>
      </c>
      <c r="AL8" s="263"/>
      <c r="AM8" s="5492" t="s">
        <v>503</v>
      </c>
      <c r="AN8" s="449" t="e">
        <f ca="1">STRCHECKDATE(V9:AL9)</f>
        <v>#NAME?</v>
      </c>
      <c r="AO8" s="438"/>
      <c r="AP8" s="438" t="str">
        <f t="shared" si="0"/>
        <v/>
      </c>
      <c r="AQ8" s="438"/>
      <c r="AR8" s="438"/>
      <c r="AS8" s="1076">
        <v>0</v>
      </c>
    </row>
    <row r="9" spans="1:45" ht="14.25" hidden="1" customHeight="1">
      <c r="A9" s="1284"/>
      <c r="B9" s="1284"/>
      <c r="C9" s="1284"/>
      <c r="D9" s="1284"/>
      <c r="E9" s="5470"/>
      <c r="F9" s="5470"/>
      <c r="G9" s="5470"/>
      <c r="H9" s="5470"/>
      <c r="I9" s="5472"/>
      <c r="J9" s="5472"/>
      <c r="K9" s="5471"/>
      <c r="L9" s="1285"/>
      <c r="M9" s="475"/>
      <c r="N9" s="1287"/>
      <c r="O9" s="1287"/>
      <c r="P9" s="5473"/>
      <c r="Q9" s="5473"/>
      <c r="R9" s="295"/>
      <c r="S9" s="1263"/>
      <c r="T9" s="238"/>
      <c r="U9" s="238"/>
      <c r="V9" s="263"/>
      <c r="W9" s="263"/>
      <c r="X9" s="263"/>
      <c r="Y9" s="266" t="str">
        <f>Z8&amp;"-"&amp;AB8</f>
        <v>-</v>
      </c>
      <c r="Z9" s="5475"/>
      <c r="AA9" s="5338"/>
      <c r="AB9" s="5475"/>
      <c r="AC9" s="5338"/>
      <c r="AD9" s="263"/>
      <c r="AE9" s="263"/>
      <c r="AF9" s="263"/>
      <c r="AG9" s="266" t="str">
        <f>AH8&amp;"-"&amp;AJ8</f>
        <v>-</v>
      </c>
      <c r="AH9" s="5475"/>
      <c r="AI9" s="5338"/>
      <c r="AJ9" s="5475"/>
      <c r="AK9" s="5338"/>
      <c r="AL9" s="263"/>
      <c r="AM9" s="5493"/>
      <c r="AO9" s="438"/>
      <c r="AP9" s="438" t="str">
        <f t="shared" si="0"/>
        <v/>
      </c>
      <c r="AQ9" s="438"/>
      <c r="AR9" s="438"/>
      <c r="AS9" s="1076">
        <v>0</v>
      </c>
    </row>
    <row r="10" spans="1:45" ht="15" hidden="1" customHeight="1">
      <c r="A10" s="1284"/>
      <c r="B10" s="1284"/>
      <c r="C10" s="1284"/>
      <c r="D10" s="1284"/>
      <c r="E10" s="5470"/>
      <c r="F10" s="5470"/>
      <c r="G10" s="5470"/>
      <c r="H10" s="5470"/>
      <c r="I10" s="5472"/>
      <c r="J10" s="5471"/>
      <c r="K10" s="1284"/>
      <c r="L10" s="1285"/>
      <c r="M10" s="475"/>
      <c r="N10" s="1287"/>
      <c r="P10" s="5473"/>
      <c r="Q10" s="5473"/>
      <c r="R10" s="294"/>
      <c r="S10" s="1199"/>
      <c r="T10" s="225" t="s">
        <v>504</v>
      </c>
      <c r="U10" s="305"/>
      <c r="V10" s="305"/>
      <c r="W10" s="305"/>
      <c r="X10" s="305"/>
      <c r="Y10" s="305"/>
      <c r="Z10" s="305"/>
      <c r="AA10" s="305"/>
      <c r="AB10" s="305"/>
      <c r="AC10" s="305"/>
      <c r="AD10" s="305"/>
      <c r="AE10" s="305"/>
      <c r="AF10" s="305"/>
      <c r="AG10" s="305"/>
      <c r="AH10" s="305"/>
      <c r="AI10" s="305"/>
      <c r="AJ10" s="305"/>
      <c r="AK10" s="305"/>
      <c r="AL10" s="262"/>
      <c r="AM10" s="5494"/>
      <c r="AO10" s="438"/>
      <c r="AP10" s="438" t="str">
        <f t="shared" si="0"/>
        <v>Добавить вид теплоносителя (параметры теплоносителя)</v>
      </c>
      <c r="AQ10" s="438"/>
      <c r="AR10" s="438"/>
      <c r="AS10" s="1076">
        <v>0</v>
      </c>
    </row>
    <row r="11" spans="1:45" ht="11.25" hidden="1" customHeight="1">
      <c r="A11" s="1284"/>
      <c r="B11" s="1284"/>
      <c r="C11" s="1284"/>
      <c r="D11" s="1284"/>
      <c r="E11" s="5470"/>
      <c r="F11" s="5470"/>
      <c r="G11" s="5470"/>
      <c r="H11" s="5470"/>
      <c r="I11" s="5471"/>
      <c r="J11" s="1284"/>
      <c r="K11" s="1284"/>
      <c r="L11" s="1285"/>
      <c r="M11" s="475"/>
      <c r="P11" s="5473"/>
      <c r="Q11" s="1252"/>
      <c r="R11" s="294"/>
      <c r="S11" s="1199"/>
      <c r="T11" s="303" t="s">
        <v>505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76">
        <v>0</v>
      </c>
    </row>
    <row r="12" spans="1:45" ht="14.25" hidden="1" customHeight="1">
      <c r="A12" s="1284"/>
      <c r="B12" s="1284"/>
      <c r="C12" s="1284"/>
      <c r="D12" s="1284"/>
      <c r="E12" s="5470"/>
      <c r="F12" s="5470"/>
      <c r="G12" s="5470"/>
      <c r="H12" s="5469"/>
      <c r="I12" s="1284"/>
      <c r="J12" s="1284"/>
      <c r="K12" s="1284"/>
      <c r="L12" s="1285"/>
      <c r="M12" s="1286"/>
      <c r="N12" s="1286"/>
      <c r="O12" s="475"/>
      <c r="P12" s="298"/>
      <c r="Q12" s="313"/>
      <c r="R12" s="293"/>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38"/>
      <c r="AP12" s="438" t="str">
        <f t="shared" si="0"/>
        <v/>
      </c>
      <c r="AQ12" s="438"/>
      <c r="AR12" s="438"/>
      <c r="AS12" s="1076">
        <v>0</v>
      </c>
    </row>
    <row r="13" spans="1:45" s="4275" customFormat="1" ht="14.25" hidden="1" customHeight="1">
      <c r="A13" s="1235"/>
      <c r="B13" s="1235"/>
      <c r="C13" s="1235"/>
      <c r="D13" s="1235"/>
      <c r="E13" s="5470"/>
      <c r="F13" s="5470"/>
      <c r="G13" s="5469"/>
      <c r="H13" s="1235"/>
      <c r="I13" s="1235"/>
      <c r="J13" s="1235"/>
      <c r="K13" s="1235"/>
      <c r="L13" s="1260"/>
      <c r="M13" s="1236"/>
      <c r="N13" s="1236"/>
      <c r="P13" s="1237"/>
      <c r="Q13" s="1238"/>
      <c r="R13" s="1237"/>
      <c r="S13" s="1239"/>
      <c r="T13" s="1240" t="s">
        <v>507</v>
      </c>
      <c r="U13" s="1241"/>
      <c r="V13" s="1241"/>
      <c r="W13" s="1241"/>
      <c r="X13" s="1241"/>
      <c r="Y13" s="1241"/>
      <c r="Z13" s="1241"/>
      <c r="AA13" s="1241"/>
      <c r="AB13" s="1241"/>
      <c r="AC13" s="1241"/>
      <c r="AD13" s="1241"/>
      <c r="AE13" s="1241"/>
      <c r="AF13" s="1241"/>
      <c r="AG13" s="1241"/>
      <c r="AH13" s="1241"/>
      <c r="AI13" s="1241"/>
      <c r="AJ13" s="1241"/>
      <c r="AK13" s="1241"/>
      <c r="AL13" s="1241"/>
      <c r="AM13" s="1241"/>
      <c r="AO13" s="721"/>
      <c r="AP13" s="721" t="str">
        <f t="shared" si="0"/>
        <v>Добавить источник для дифференциации</v>
      </c>
      <c r="AQ13" s="721"/>
      <c r="AR13" s="721"/>
      <c r="AS13" s="456">
        <v>0</v>
      </c>
    </row>
    <row r="14" spans="1:45" s="4275" customFormat="1" ht="14.25" hidden="1" customHeight="1">
      <c r="A14" s="1235"/>
      <c r="B14" s="1235"/>
      <c r="C14" s="1235"/>
      <c r="D14" s="1235"/>
      <c r="E14" s="5470"/>
      <c r="F14" s="5469"/>
      <c r="G14" s="1235"/>
      <c r="H14" s="1235"/>
      <c r="I14" s="1235"/>
      <c r="J14" s="1235"/>
      <c r="K14" s="1235"/>
      <c r="L14" s="1260"/>
      <c r="M14" s="1242"/>
      <c r="N14" s="1242"/>
      <c r="P14" s="1237"/>
      <c r="Q14" s="1238"/>
      <c r="R14" s="1237"/>
      <c r="S14" s="1243"/>
      <c r="T14" s="1244" t="s">
        <v>312</v>
      </c>
      <c r="U14" s="1245"/>
      <c r="V14" s="1245"/>
      <c r="W14" s="1245"/>
      <c r="X14" s="1245"/>
      <c r="Y14" s="1245"/>
      <c r="Z14" s="1245"/>
      <c r="AA14" s="1245"/>
      <c r="AB14" s="1245"/>
      <c r="AC14" s="1245"/>
      <c r="AD14" s="1245"/>
      <c r="AE14" s="1245"/>
      <c r="AF14" s="1245"/>
      <c r="AG14" s="1245"/>
      <c r="AH14" s="1245"/>
      <c r="AI14" s="1245"/>
      <c r="AJ14" s="1245"/>
      <c r="AK14" s="1245"/>
      <c r="AL14" s="1245"/>
      <c r="AM14" s="1245"/>
      <c r="AO14" s="721"/>
      <c r="AP14" s="721" t="str">
        <f t="shared" si="0"/>
        <v>Добавить централизованную систему для дифференциации</v>
      </c>
      <c r="AQ14" s="721"/>
      <c r="AR14" s="721"/>
      <c r="AS14" s="456">
        <v>0</v>
      </c>
    </row>
    <row r="15" spans="1:45" s="4275" customFormat="1" ht="14.25" hidden="1" customHeight="1">
      <c r="A15" s="1235"/>
      <c r="B15" s="1235"/>
      <c r="C15" s="1235"/>
      <c r="D15" s="1235"/>
      <c r="E15" s="5469"/>
      <c r="F15" s="1235"/>
      <c r="G15" s="1235"/>
      <c r="H15" s="1235"/>
      <c r="I15" s="1235"/>
      <c r="J15" s="1235"/>
      <c r="K15" s="1235"/>
      <c r="L15" s="1260"/>
      <c r="M15" s="1242"/>
      <c r="N15" s="1242"/>
      <c r="P15" s="1237"/>
      <c r="Q15" s="1238"/>
      <c r="R15" s="1237"/>
      <c r="S15" s="1243"/>
      <c r="T15" s="1246" t="s">
        <v>360</v>
      </c>
      <c r="U15" s="1245"/>
      <c r="V15" s="1245"/>
      <c r="W15" s="1245"/>
      <c r="X15" s="1245"/>
      <c r="Y15" s="1245"/>
      <c r="Z15" s="1245"/>
      <c r="AA15" s="1245"/>
      <c r="AB15" s="1245"/>
      <c r="AC15" s="1245"/>
      <c r="AD15" s="1245"/>
      <c r="AE15" s="1245"/>
      <c r="AF15" s="1245"/>
      <c r="AG15" s="1245"/>
      <c r="AH15" s="1245"/>
      <c r="AI15" s="1245"/>
      <c r="AJ15" s="1245"/>
      <c r="AK15" s="1245"/>
      <c r="AL15" s="1245"/>
      <c r="AM15" s="1245"/>
      <c r="AO15" s="721"/>
      <c r="AP15" s="721" t="str">
        <f t="shared" si="0"/>
        <v>Добавить территорию для дифференциации</v>
      </c>
      <c r="AQ15" s="721"/>
      <c r="AR15" s="721"/>
      <c r="AS15" s="456">
        <v>0</v>
      </c>
    </row>
    <row r="16" spans="1:45" ht="14.25" hidden="1" customHeight="1">
      <c r="AC16" s="265"/>
      <c r="AK16" s="265"/>
      <c r="AS16" s="1076">
        <v>0</v>
      </c>
    </row>
    <row r="17" spans="1:45" ht="14.25" hidden="1" customHeight="1">
      <c r="AD17" s="1281"/>
      <c r="AE17" s="1281"/>
      <c r="AF17" s="1281"/>
      <c r="AG17" s="1282"/>
      <c r="AH17" s="5467"/>
      <c r="AI17" s="5466" t="s">
        <v>66</v>
      </c>
      <c r="AJ17" s="5467"/>
      <c r="AK17" s="5466" t="s">
        <v>66</v>
      </c>
      <c r="AS17" s="1076">
        <v>0</v>
      </c>
    </row>
    <row r="18" spans="1:45" ht="14.25" hidden="1" customHeight="1">
      <c r="AD18" s="1281"/>
      <c r="AE18" s="1281"/>
      <c r="AF18" s="1281"/>
      <c r="AG18" s="266" t="str">
        <f>AH17&amp;"-"&amp;AJ17</f>
        <v>-</v>
      </c>
      <c r="AH18" s="5466"/>
      <c r="AI18" s="5466"/>
      <c r="AJ18" s="5466"/>
      <c r="AK18" s="5466"/>
      <c r="AS18" s="1076">
        <v>0</v>
      </c>
    </row>
    <row r="19" spans="1:45" ht="14.25" hidden="1" customHeight="1">
      <c r="AK19" s="265"/>
      <c r="AS19" s="1076">
        <v>0</v>
      </c>
    </row>
    <row r="20" spans="1:45" s="4274" customFormat="1" ht="22.5" hidden="1" customHeight="1">
      <c r="L20" s="1250"/>
      <c r="M20" s="1283"/>
      <c r="N20" s="1283"/>
      <c r="O20" s="1288" t="s">
        <v>508</v>
      </c>
      <c r="P20" s="1283"/>
      <c r="Q20" s="1292"/>
      <c r="R20" s="1292"/>
      <c r="S20" s="667"/>
      <c r="Z20" s="1288"/>
      <c r="AB20" s="1288"/>
      <c r="AC20" s="1287"/>
      <c r="AH20" s="1288"/>
      <c r="AJ20" s="1288"/>
      <c r="AK20" s="1287"/>
      <c r="AN20" s="449"/>
      <c r="AO20" s="449"/>
      <c r="AP20" s="449"/>
      <c r="AQ20" s="449"/>
      <c r="AR20" s="449"/>
      <c r="AS20" s="1081">
        <v>0</v>
      </c>
    </row>
    <row r="21" spans="1:45" s="4274" customFormat="1" ht="14.25" hidden="1" customHeight="1">
      <c r="L21" s="1250"/>
      <c r="M21" s="1283"/>
      <c r="N21" s="1283"/>
      <c r="O21" s="1283"/>
      <c r="P21" s="1283"/>
      <c r="Q21" s="1292"/>
      <c r="R21" s="1292"/>
      <c r="S21" s="667"/>
      <c r="AC21" s="1287"/>
      <c r="AK21" s="1287"/>
      <c r="AN21" s="449"/>
      <c r="AO21" s="449"/>
      <c r="AP21" s="449"/>
      <c r="AQ21" s="449"/>
      <c r="AR21" s="449"/>
      <c r="AS21" s="1081">
        <v>0</v>
      </c>
    </row>
    <row r="22" spans="1:45" s="4274" customFormat="1" ht="14.25" hidden="1" customHeight="1">
      <c r="L22" s="1250"/>
      <c r="M22" s="1283"/>
      <c r="N22" s="1283"/>
      <c r="O22" s="1285" t="s">
        <v>509</v>
      </c>
      <c r="P22" s="1283"/>
      <c r="Q22" s="1292"/>
      <c r="R22" s="1292"/>
      <c r="S22" s="667"/>
      <c r="T22" s="1081" t="s">
        <v>510</v>
      </c>
      <c r="AA22" s="124" t="s">
        <v>511</v>
      </c>
      <c r="AC22" s="124" t="s">
        <v>512</v>
      </c>
      <c r="AD22" s="1081" t="s">
        <v>510</v>
      </c>
      <c r="AI22" s="124" t="s">
        <v>513</v>
      </c>
      <c r="AK22" s="124" t="s">
        <v>512</v>
      </c>
      <c r="AN22" s="449"/>
      <c r="AO22" s="449"/>
      <c r="AP22" s="449"/>
      <c r="AQ22" s="449"/>
      <c r="AR22" s="449"/>
      <c r="AS22" s="1081">
        <v>0</v>
      </c>
    </row>
    <row r="23" spans="1:45" ht="14.25" hidden="1" customHeight="1">
      <c r="O23" s="1285"/>
      <c r="AS23" s="1076">
        <v>0</v>
      </c>
    </row>
    <row r="24" spans="1:45" ht="14.25" hidden="1" customHeight="1">
      <c r="O24" s="1285"/>
      <c r="AS24" s="1076">
        <v>0</v>
      </c>
    </row>
    <row r="25" spans="1:45" ht="14.65" customHeight="1">
      <c r="Q25" s="314"/>
      <c r="R25" s="314"/>
      <c r="S25" s="1196"/>
      <c r="T25" s="301"/>
      <c r="U25" s="301"/>
      <c r="V25" s="447"/>
      <c r="W25" s="447"/>
      <c r="X25" s="447"/>
      <c r="Y25" s="447"/>
      <c r="Z25" s="447"/>
      <c r="AA25" s="447"/>
      <c r="AB25" s="447"/>
      <c r="AC25" s="447"/>
      <c r="AD25" s="447"/>
      <c r="AE25" s="447"/>
      <c r="AF25" s="447"/>
      <c r="AG25" s="447"/>
      <c r="AH25" s="447"/>
      <c r="AI25" s="447"/>
      <c r="AJ25" s="447"/>
      <c r="AK25" s="447"/>
      <c r="AS25" s="1076">
        <v>14</v>
      </c>
    </row>
    <row r="26" spans="1:45" ht="53.45" customHeight="1">
      <c r="Q26" s="314"/>
      <c r="R26" s="314"/>
      <c r="S26" s="54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450"/>
      <c r="U26" s="5450"/>
      <c r="V26" s="5450"/>
      <c r="W26" s="5450"/>
      <c r="X26" s="5450"/>
      <c r="Y26" s="5450"/>
      <c r="Z26" s="5450"/>
      <c r="AA26" s="5450"/>
      <c r="AB26" s="5450"/>
      <c r="AC26" s="5450"/>
      <c r="AD26" s="5450"/>
      <c r="AE26" s="5450"/>
      <c r="AF26" s="5450"/>
      <c r="AG26" s="5450"/>
      <c r="AH26" s="5450"/>
      <c r="AI26" s="5450"/>
      <c r="AJ26" s="5450"/>
      <c r="AK26" s="1164"/>
      <c r="AS26" s="1076">
        <v>51</v>
      </c>
    </row>
    <row r="27" spans="1:45" ht="14.65" customHeight="1">
      <c r="Q27" s="314"/>
      <c r="R27" s="314"/>
      <c r="S27" s="5423" t="str">
        <f>IF(org=0,"Не определено",org)</f>
        <v>КГУП "Примтеплоэнерго"</v>
      </c>
      <c r="T27" s="5423"/>
      <c r="U27" s="5423"/>
      <c r="V27" s="5423"/>
      <c r="W27" s="5423"/>
      <c r="X27" s="5423"/>
      <c r="Y27" s="5423"/>
      <c r="Z27" s="5423"/>
      <c r="AA27" s="5423"/>
      <c r="AB27" s="5423"/>
      <c r="AC27" s="5423"/>
      <c r="AD27" s="5423"/>
      <c r="AE27" s="5423"/>
      <c r="AF27" s="5423"/>
      <c r="AG27" s="5423"/>
      <c r="AH27" s="5423"/>
      <c r="AI27" s="5423"/>
      <c r="AJ27" s="5423"/>
      <c r="AK27" s="1164"/>
      <c r="AS27" s="1076">
        <v>14</v>
      </c>
    </row>
    <row r="28" spans="1:45" ht="14.25" hidden="1" customHeight="1">
      <c r="Q28" s="314"/>
      <c r="R28" s="314"/>
      <c r="S28" s="1196"/>
      <c r="T28" s="301"/>
      <c r="U28" s="301"/>
      <c r="V28" s="260"/>
      <c r="W28" s="260"/>
      <c r="X28" s="260"/>
      <c r="Y28" s="260"/>
      <c r="Z28" s="260"/>
      <c r="AA28" s="260"/>
      <c r="AB28" s="260"/>
      <c r="AC28" s="260"/>
      <c r="AD28" s="260"/>
      <c r="AE28" s="260"/>
      <c r="AF28" s="260"/>
      <c r="AG28" s="260"/>
      <c r="AH28" s="260"/>
      <c r="AI28" s="260"/>
      <c r="AJ28" s="260"/>
      <c r="AK28" s="260"/>
      <c r="AL28" s="447"/>
      <c r="AS28" s="1076">
        <v>0</v>
      </c>
    </row>
    <row r="29" spans="1:45" s="4284" customFormat="1" ht="25.5" hidden="1" customHeight="1">
      <c r="A29" s="1289"/>
      <c r="B29" s="1289"/>
      <c r="C29" s="1289"/>
      <c r="D29" s="1289"/>
      <c r="E29" s="1289"/>
      <c r="F29" s="1289"/>
      <c r="G29" s="1289"/>
      <c r="H29" s="1289"/>
      <c r="I29" s="1289"/>
      <c r="J29" s="1289"/>
      <c r="K29" s="1289"/>
      <c r="L29" s="1290"/>
      <c r="M29" s="1289"/>
      <c r="N29" s="1289"/>
      <c r="O29" s="1289"/>
      <c r="S29" s="5460" t="s">
        <v>42</v>
      </c>
      <c r="T29" s="5460"/>
      <c r="U29" s="1293"/>
      <c r="V29" s="5462" t="str">
        <f>IF(TITLE_NAME_OR_PR_CHANGE="",IF(TITLE_NAME_OR_PR="","",TITLE_NAME_OR_PR),TITLE_NAME_OR_PR_CHANGE)</f>
        <v/>
      </c>
      <c r="W29" s="5462"/>
      <c r="X29" s="5462"/>
      <c r="Y29" s="5462"/>
      <c r="Z29" s="5462"/>
      <c r="AA29" s="5462"/>
      <c r="AB29" s="5462"/>
      <c r="AC29" s="264"/>
      <c r="AD29" s="5462" t="str">
        <f>IF(TITLE_NAME_OR_PR_CHANGE="",IF(TITLE_NAME_OR_PR="","",TITLE_NAME_OR_PR),TITLE_NAME_OR_PR_CHANGE)</f>
        <v/>
      </c>
      <c r="AE29" s="5462"/>
      <c r="AF29" s="5462"/>
      <c r="AG29" s="5462"/>
      <c r="AH29" s="5462"/>
      <c r="AI29" s="5462"/>
      <c r="AJ29" s="5462"/>
      <c r="AK29" s="264"/>
      <c r="AL29" s="264"/>
      <c r="AM29" s="218"/>
      <c r="AN29" s="306"/>
      <c r="AO29" s="306"/>
      <c r="AP29" s="306"/>
      <c r="AQ29" s="306"/>
      <c r="AR29" s="306"/>
      <c r="AS29" s="356">
        <v>0</v>
      </c>
    </row>
    <row r="30" spans="1:45" s="4284" customFormat="1" ht="18.75" hidden="1" customHeight="1">
      <c r="A30" s="1289"/>
      <c r="B30" s="1289"/>
      <c r="C30" s="1289"/>
      <c r="D30" s="1289"/>
      <c r="E30" s="1289"/>
      <c r="F30" s="1289"/>
      <c r="G30" s="1289"/>
      <c r="H30" s="1289"/>
      <c r="I30" s="1289"/>
      <c r="J30" s="1289"/>
      <c r="K30" s="1289"/>
      <c r="L30" s="1290"/>
      <c r="M30" s="1289"/>
      <c r="N30" s="1289"/>
      <c r="O30" s="1289"/>
      <c r="S30" s="5460" t="s">
        <v>514</v>
      </c>
      <c r="T30" s="5460"/>
      <c r="U30" s="1293"/>
      <c r="V30" s="5461">
        <f>IF(TITLE_DATE_PR_CHANGE="",IF(TITLE_DATE_PR="","",TITLE_DATE_PR),TITLE_DATE_PR_CHANGE)</f>
        <v>45649.605891203704</v>
      </c>
      <c r="W30" s="5461"/>
      <c r="X30" s="5461"/>
      <c r="Y30" s="5461"/>
      <c r="Z30" s="5461"/>
      <c r="AA30" s="5461"/>
      <c r="AB30" s="5461"/>
      <c r="AC30" s="264"/>
      <c r="AD30" s="5461">
        <f>IF(TITLE_DATE_PR_CHANGE="",IF(TITLE_DATE_PR="","",TITLE_DATE_PR),TITLE_DATE_PR_CHANGE)</f>
        <v>45649.605891203704</v>
      </c>
      <c r="AE30" s="5461"/>
      <c r="AF30" s="5461"/>
      <c r="AG30" s="5461"/>
      <c r="AH30" s="5461"/>
      <c r="AI30" s="5461"/>
      <c r="AJ30" s="5461"/>
      <c r="AK30" s="264"/>
      <c r="AL30" s="264"/>
      <c r="AM30" s="218"/>
      <c r="AN30" s="306"/>
      <c r="AO30" s="306"/>
      <c r="AP30" s="306"/>
      <c r="AQ30" s="306"/>
      <c r="AR30" s="306"/>
      <c r="AS30" s="356">
        <v>0</v>
      </c>
    </row>
    <row r="31" spans="1:45" s="4284" customFormat="1" ht="18.75" hidden="1" customHeight="1">
      <c r="A31" s="1289"/>
      <c r="B31" s="1289"/>
      <c r="C31" s="1289"/>
      <c r="D31" s="1289"/>
      <c r="E31" s="1289"/>
      <c r="F31" s="1289"/>
      <c r="G31" s="1289"/>
      <c r="H31" s="1289"/>
      <c r="I31" s="1289"/>
      <c r="J31" s="1289"/>
      <c r="K31" s="1289"/>
      <c r="L31" s="1290"/>
      <c r="M31" s="1289"/>
      <c r="N31" s="1289"/>
      <c r="O31" s="1289"/>
      <c r="S31" s="5460" t="s">
        <v>515</v>
      </c>
      <c r="T31" s="5460"/>
      <c r="U31" s="1293"/>
      <c r="V31" s="5462" t="str">
        <f>IF(TITLE_NUMBER_PR_CHANGE="",IF(TITLE_NUMBER_PR="","",TITLE_NUMBER_PR),TITLE_NUMBER_PR_CHANGE)</f>
        <v>27-6414</v>
      </c>
      <c r="W31" s="5462"/>
      <c r="X31" s="5462"/>
      <c r="Y31" s="5462"/>
      <c r="Z31" s="5462"/>
      <c r="AA31" s="5462"/>
      <c r="AB31" s="5462"/>
      <c r="AC31" s="264"/>
      <c r="AD31" s="5462" t="str">
        <f>IF(TITLE_NUMBER_PR_CHANGE="",IF(TITLE_NUMBER_PR="","",TITLE_NUMBER_PR),TITLE_NUMBER_PR_CHANGE)</f>
        <v>27-6414</v>
      </c>
      <c r="AE31" s="5462"/>
      <c r="AF31" s="5462"/>
      <c r="AG31" s="5462"/>
      <c r="AH31" s="5462"/>
      <c r="AI31" s="5462"/>
      <c r="AJ31" s="5462"/>
      <c r="AK31" s="264"/>
      <c r="AL31" s="264"/>
      <c r="AM31" s="218"/>
      <c r="AN31" s="306"/>
      <c r="AO31" s="306"/>
      <c r="AP31" s="306"/>
      <c r="AQ31" s="306"/>
      <c r="AR31" s="306"/>
      <c r="AS31" s="356">
        <v>0</v>
      </c>
    </row>
    <row r="32" spans="1:45" s="4284" customFormat="1" ht="18.75" hidden="1" customHeight="1">
      <c r="A32" s="1289"/>
      <c r="B32" s="1289"/>
      <c r="C32" s="1289"/>
      <c r="D32" s="1289"/>
      <c r="E32" s="1289"/>
      <c r="F32" s="1289"/>
      <c r="G32" s="1289"/>
      <c r="H32" s="1289"/>
      <c r="I32" s="1289"/>
      <c r="J32" s="1289"/>
      <c r="K32" s="1289"/>
      <c r="L32" s="1290"/>
      <c r="M32" s="1289"/>
      <c r="N32" s="1289"/>
      <c r="O32" s="1289"/>
      <c r="S32" s="5460" t="s">
        <v>43</v>
      </c>
      <c r="T32" s="5460"/>
      <c r="U32" s="1293"/>
      <c r="V32" s="5462" t="str">
        <f>IF(TITLE_IST_PUB_CHANGE="",IF(TITLE_IST_PUB="","",TITLE_IST_PUB),TITLE_IST_PUB_CHANGE)</f>
        <v/>
      </c>
      <c r="W32" s="5462"/>
      <c r="X32" s="5462"/>
      <c r="Y32" s="5462"/>
      <c r="Z32" s="5462"/>
      <c r="AA32" s="5462"/>
      <c r="AB32" s="5462"/>
      <c r="AC32" s="264"/>
      <c r="AD32" s="5462" t="str">
        <f>IF(TITLE_IST_PUB_CHANGE="",IF(TITLE_IST_PUB="","",TITLE_IST_PUB),TITLE_IST_PUB_CHANGE)</f>
        <v/>
      </c>
      <c r="AE32" s="5462"/>
      <c r="AF32" s="5462"/>
      <c r="AG32" s="5462"/>
      <c r="AH32" s="5462"/>
      <c r="AI32" s="5462"/>
      <c r="AJ32" s="5462"/>
      <c r="AK32" s="264"/>
      <c r="AL32" s="264"/>
      <c r="AM32" s="218"/>
      <c r="AN32" s="306"/>
      <c r="AO32" s="306"/>
      <c r="AP32" s="306"/>
      <c r="AQ32" s="306"/>
      <c r="AR32" s="306"/>
      <c r="AS32" s="356">
        <v>0</v>
      </c>
    </row>
    <row r="33" spans="1:45" ht="14.25" customHeight="1">
      <c r="Q33" s="314"/>
      <c r="R33" s="314"/>
      <c r="S33" s="1196"/>
      <c r="T33" s="301"/>
      <c r="U33" s="301"/>
      <c r="V33" s="260"/>
      <c r="W33" s="260"/>
      <c r="X33" s="260"/>
      <c r="Y33" s="260"/>
      <c r="Z33" s="260"/>
      <c r="AA33" s="260"/>
      <c r="AB33" s="260"/>
      <c r="AC33" s="260"/>
      <c r="AD33" s="260"/>
      <c r="AE33" s="260"/>
      <c r="AF33" s="260"/>
      <c r="AG33" s="260"/>
      <c r="AH33" s="260"/>
      <c r="AI33" s="260"/>
      <c r="AJ33" s="260"/>
      <c r="AK33" s="260"/>
      <c r="AL33" s="447"/>
      <c r="AS33" s="1076">
        <v>0</v>
      </c>
    </row>
    <row r="34" spans="1:45" s="4284" customFormat="1" ht="18.75" customHeight="1">
      <c r="A34" s="1289"/>
      <c r="B34" s="1289"/>
      <c r="C34" s="1289"/>
      <c r="D34" s="1289"/>
      <c r="E34" s="1289"/>
      <c r="F34" s="1289"/>
      <c r="G34" s="1289"/>
      <c r="H34" s="1289"/>
      <c r="I34" s="1289"/>
      <c r="J34" s="1289"/>
      <c r="K34" s="1289"/>
      <c r="L34" s="1290"/>
      <c r="M34" s="1289"/>
      <c r="N34" s="1289"/>
      <c r="O34" s="1289"/>
      <c r="S34" s="5460" t="s">
        <v>516</v>
      </c>
      <c r="T34" s="5460"/>
      <c r="U34" s="1293"/>
      <c r="V34" s="5461">
        <f>IF(TITLE_DATE_PR_CHANGE="",IF(TITLE_DATE_PR="","",TITLE_DATE_PR),TITLE_DATE_PR_CHANGE)</f>
        <v>45649.605891203704</v>
      </c>
      <c r="W34" s="5461"/>
      <c r="X34" s="5461"/>
      <c r="Y34" s="5461"/>
      <c r="Z34" s="5461"/>
      <c r="AA34" s="5461"/>
      <c r="AB34" s="5461"/>
      <c r="AC34" s="264"/>
      <c r="AD34" s="5461">
        <f>IF(TITLE_DATE_PR_CHANGE="",IF(TITLE_DATE_PR="","",TITLE_DATE_PR),TITLE_DATE_PR_CHANGE)</f>
        <v>45649.605891203704</v>
      </c>
      <c r="AE34" s="5461"/>
      <c r="AF34" s="5461"/>
      <c r="AG34" s="5461"/>
      <c r="AH34" s="5461"/>
      <c r="AI34" s="5461"/>
      <c r="AJ34" s="5461"/>
      <c r="AK34" s="264"/>
      <c r="AL34" s="264"/>
      <c r="AM34" s="218"/>
      <c r="AN34" s="306"/>
      <c r="AO34" s="306"/>
      <c r="AP34" s="306"/>
      <c r="AQ34" s="306"/>
      <c r="AR34" s="306"/>
      <c r="AS34" s="356">
        <v>0</v>
      </c>
    </row>
    <row r="35" spans="1:45" s="4284" customFormat="1" ht="25.5" customHeight="1">
      <c r="A35" s="1289"/>
      <c r="B35" s="1289"/>
      <c r="C35" s="1289"/>
      <c r="D35" s="1289"/>
      <c r="E35" s="1289"/>
      <c r="F35" s="1289"/>
      <c r="G35" s="1289"/>
      <c r="H35" s="1289"/>
      <c r="I35" s="1289"/>
      <c r="J35" s="1289"/>
      <c r="K35" s="1289"/>
      <c r="L35" s="1290"/>
      <c r="M35" s="1289"/>
      <c r="N35" s="1289"/>
      <c r="O35" s="1289"/>
      <c r="S35" s="5460" t="s">
        <v>517</v>
      </c>
      <c r="T35" s="5460"/>
      <c r="U35" s="1293"/>
      <c r="V35" s="5462" t="str">
        <f>IF(TITLE_NUMBER_PR_CHANGE="",IF(TITLE_NUMBER_PR="","",TITLE_NUMBER_PR),TITLE_NUMBER_PR_CHANGE)</f>
        <v>27-6414</v>
      </c>
      <c r="W35" s="5462"/>
      <c r="X35" s="5462"/>
      <c r="Y35" s="5462"/>
      <c r="Z35" s="5462"/>
      <c r="AA35" s="5462"/>
      <c r="AB35" s="5462"/>
      <c r="AC35" s="264"/>
      <c r="AD35" s="5462" t="str">
        <f>IF(TITLE_NUMBER_PR_CHANGE="",IF(TITLE_NUMBER_PR="","",TITLE_NUMBER_PR),TITLE_NUMBER_PR_CHANGE)</f>
        <v>27-6414</v>
      </c>
      <c r="AE35" s="5462"/>
      <c r="AF35" s="5462"/>
      <c r="AG35" s="5462"/>
      <c r="AH35" s="5462"/>
      <c r="AI35" s="5462"/>
      <c r="AJ35" s="5462"/>
      <c r="AK35" s="264"/>
      <c r="AL35" s="264"/>
      <c r="AM35" s="218"/>
      <c r="AN35" s="306"/>
      <c r="AO35" s="306"/>
      <c r="AP35" s="306"/>
      <c r="AQ35" s="306"/>
      <c r="AR35" s="306"/>
      <c r="AS35" s="356">
        <v>0</v>
      </c>
    </row>
    <row r="36" spans="1:45" s="4284" customFormat="1" ht="0" hidden="1" customHeight="1">
      <c r="A36" s="1289"/>
      <c r="B36" s="1289"/>
      <c r="C36" s="1289"/>
      <c r="D36" s="1289"/>
      <c r="E36" s="1289"/>
      <c r="F36" s="1289"/>
      <c r="G36" s="1289"/>
      <c r="H36" s="1289"/>
      <c r="I36" s="1289"/>
      <c r="J36" s="1289"/>
      <c r="K36" s="1289"/>
      <c r="L36" s="1290"/>
      <c r="M36" s="1289"/>
      <c r="N36" s="1289"/>
      <c r="O36" s="1289"/>
      <c r="S36" s="261"/>
      <c r="T36" s="261"/>
      <c r="U36" s="1261"/>
      <c r="V36" s="264"/>
      <c r="W36" s="264"/>
      <c r="X36" s="264"/>
      <c r="Y36" s="264"/>
      <c r="Z36" s="264"/>
      <c r="AA36" s="264"/>
      <c r="AB36" s="264"/>
      <c r="AC36" s="216" t="s">
        <v>518</v>
      </c>
      <c r="AD36" s="264"/>
      <c r="AE36" s="264"/>
      <c r="AF36" s="264"/>
      <c r="AG36" s="264"/>
      <c r="AH36" s="264"/>
      <c r="AI36" s="264"/>
      <c r="AJ36" s="264"/>
      <c r="AK36" s="216" t="s">
        <v>518</v>
      </c>
      <c r="AN36" s="306"/>
      <c r="AO36" s="306"/>
      <c r="AP36" s="306"/>
      <c r="AQ36" s="306"/>
      <c r="AR36" s="306"/>
      <c r="AS36" s="356">
        <v>0</v>
      </c>
    </row>
    <row r="37" spans="1:45" ht="14.65" customHeight="1">
      <c r="Q37" s="314"/>
      <c r="R37" s="314"/>
      <c r="S37" s="1196"/>
      <c r="T37" s="301"/>
      <c r="U37" s="1165"/>
      <c r="V37" s="5481"/>
      <c r="W37" s="5481"/>
      <c r="X37" s="5481"/>
      <c r="Y37" s="5481"/>
      <c r="Z37" s="5481"/>
      <c r="AA37" s="5481"/>
      <c r="AB37" s="5481"/>
      <c r="AC37" s="5481"/>
      <c r="AD37" s="5481"/>
      <c r="AE37" s="5481"/>
      <c r="AF37" s="5481"/>
      <c r="AG37" s="5481"/>
      <c r="AH37" s="5481"/>
      <c r="AI37" s="5481"/>
      <c r="AJ37" s="5481"/>
      <c r="AK37" s="5481"/>
      <c r="AS37" s="1076">
        <v>14</v>
      </c>
    </row>
    <row r="38" spans="1:45" ht="14.65" customHeight="1">
      <c r="Q38" s="314"/>
      <c r="R38" s="314"/>
      <c r="S38" s="5328" t="s">
        <v>393</v>
      </c>
      <c r="T38" s="5328"/>
      <c r="U38" s="5328"/>
      <c r="V38" s="5328"/>
      <c r="W38" s="5328"/>
      <c r="X38" s="5328"/>
      <c r="Y38" s="5328"/>
      <c r="Z38" s="5328"/>
      <c r="AA38" s="5328"/>
      <c r="AB38" s="5328"/>
      <c r="AC38" s="5328"/>
      <c r="AD38" s="5328"/>
      <c r="AE38" s="5328"/>
      <c r="AF38" s="5328"/>
      <c r="AG38" s="5328"/>
      <c r="AH38" s="5328"/>
      <c r="AI38" s="5328"/>
      <c r="AJ38" s="5328"/>
      <c r="AK38" s="5328"/>
      <c r="AL38" s="5328"/>
      <c r="AM38" s="5328" t="s">
        <v>394</v>
      </c>
      <c r="AS38" s="1076">
        <v>14</v>
      </c>
    </row>
    <row r="39" spans="1:45" ht="14.65" customHeight="1">
      <c r="Q39" s="314"/>
      <c r="R39" s="314"/>
      <c r="S39" s="5482" t="s">
        <v>88</v>
      </c>
      <c r="T39" s="5431" t="s">
        <v>519</v>
      </c>
      <c r="U39" s="239"/>
      <c r="V39" s="5483" t="s">
        <v>520</v>
      </c>
      <c r="W39" s="5484"/>
      <c r="X39" s="5484"/>
      <c r="Y39" s="5484"/>
      <c r="Z39" s="5484"/>
      <c r="AA39" s="5484"/>
      <c r="AB39" s="5485"/>
      <c r="AC39" s="5486" t="s">
        <v>521</v>
      </c>
      <c r="AD39" s="5483" t="s">
        <v>520</v>
      </c>
      <c r="AE39" s="5484"/>
      <c r="AF39" s="5484"/>
      <c r="AG39" s="5484"/>
      <c r="AH39" s="5484"/>
      <c r="AI39" s="5484"/>
      <c r="AJ39" s="5485"/>
      <c r="AK39" s="5486" t="s">
        <v>522</v>
      </c>
      <c r="AL39" s="5489" t="s">
        <v>523</v>
      </c>
      <c r="AM39" s="5328"/>
      <c r="AS39" s="1076">
        <v>14</v>
      </c>
    </row>
    <row r="40" spans="1:45" ht="35.65" customHeight="1">
      <c r="Q40" s="314"/>
      <c r="R40" s="314"/>
      <c r="S40" s="5482"/>
      <c r="T40" s="5431"/>
      <c r="U40" s="956"/>
      <c r="V40" s="5403" t="s">
        <v>524</v>
      </c>
      <c r="W40" s="5478"/>
      <c r="X40" s="5309" t="s">
        <v>526</v>
      </c>
      <c r="Y40" s="5308"/>
      <c r="Z40" s="5309" t="s">
        <v>527</v>
      </c>
      <c r="AA40" s="5314"/>
      <c r="AB40" s="5308"/>
      <c r="AC40" s="5487"/>
      <c r="AD40" s="5403" t="s">
        <v>540</v>
      </c>
      <c r="AE40" s="5478"/>
      <c r="AF40" s="5309" t="s">
        <v>526</v>
      </c>
      <c r="AG40" s="5308"/>
      <c r="AH40" s="5309" t="s">
        <v>527</v>
      </c>
      <c r="AI40" s="5314"/>
      <c r="AJ40" s="5308"/>
      <c r="AK40" s="5487"/>
      <c r="AL40" s="5490"/>
      <c r="AM40" s="5328"/>
      <c r="AS40" s="1076">
        <v>34</v>
      </c>
    </row>
    <row r="41" spans="1:45" ht="35.65" customHeight="1">
      <c r="A41" s="1291"/>
      <c r="B41" s="1291" t="s">
        <v>167</v>
      </c>
      <c r="C41" s="1291" t="s">
        <v>168</v>
      </c>
      <c r="D41" s="1291" t="s">
        <v>169</v>
      </c>
      <c r="E41" s="1285" t="s">
        <v>528</v>
      </c>
      <c r="F41" s="1285" t="s">
        <v>529</v>
      </c>
      <c r="G41" s="1285" t="s">
        <v>530</v>
      </c>
      <c r="H41" s="1285" t="s">
        <v>531</v>
      </c>
      <c r="I41" s="1285" t="s">
        <v>532</v>
      </c>
      <c r="J41" s="1285" t="s">
        <v>533</v>
      </c>
      <c r="K41" s="1285" t="s">
        <v>534</v>
      </c>
      <c r="L41" s="1285" t="s">
        <v>509</v>
      </c>
      <c r="Q41" s="314"/>
      <c r="R41" s="314"/>
      <c r="S41" s="5482"/>
      <c r="T41" s="5431"/>
      <c r="U41" s="240"/>
      <c r="V41" s="5455"/>
      <c r="W41" s="5479"/>
      <c r="X41" s="1143" t="s">
        <v>535</v>
      </c>
      <c r="Y41" s="1143" t="s">
        <v>536</v>
      </c>
      <c r="Z41" s="1259" t="s">
        <v>537</v>
      </c>
      <c r="AA41" s="5436" t="s">
        <v>538</v>
      </c>
      <c r="AB41" s="5449"/>
      <c r="AC41" s="5488"/>
      <c r="AD41" s="5455"/>
      <c r="AE41" s="5479"/>
      <c r="AF41" s="1143" t="s">
        <v>535</v>
      </c>
      <c r="AG41" s="1143" t="s">
        <v>536</v>
      </c>
      <c r="AH41" s="1259" t="s">
        <v>537</v>
      </c>
      <c r="AI41" s="5436" t="s">
        <v>538</v>
      </c>
      <c r="AJ41" s="5449"/>
      <c r="AK41" s="5488"/>
      <c r="AL41" s="5491"/>
      <c r="AM41" s="5328"/>
      <c r="AS41" s="1076">
        <v>34</v>
      </c>
    </row>
    <row r="42" spans="1:45" s="4299" customFormat="1" ht="11.25" hidden="1" customHeight="1">
      <c r="A42" s="1291"/>
      <c r="B42" s="1291"/>
      <c r="C42" s="1291"/>
      <c r="D42" s="1291"/>
      <c r="E42" s="1291"/>
      <c r="F42" s="1291"/>
      <c r="G42" s="1291"/>
      <c r="H42" s="1291"/>
      <c r="I42" s="1291"/>
      <c r="J42" s="1291"/>
      <c r="K42" s="1291"/>
      <c r="L42" s="1285"/>
      <c r="M42" s="1283"/>
      <c r="N42" s="1283"/>
      <c r="O42" s="1283"/>
      <c r="P42" s="1167"/>
      <c r="Q42" s="1168"/>
      <c r="R42" s="1175">
        <v>1</v>
      </c>
      <c r="S42" s="1198" t="s">
        <v>136</v>
      </c>
      <c r="T42" s="1176" t="s">
        <v>103</v>
      </c>
      <c r="U42" s="1166" t="str">
        <f ca="1">OFFSET(U42,0,-1)</f>
        <v>2</v>
      </c>
      <c r="V42" s="1256">
        <f ca="1">OFFSET(V42,0,-1)+1</f>
        <v>3</v>
      </c>
      <c r="W42" s="1256"/>
      <c r="X42" s="1256">
        <f ca="1">OFFSET(X42,0,-1)+1</f>
        <v>1</v>
      </c>
      <c r="Y42" s="1256">
        <f ca="1">OFFSET(Y42,0,-1)+1</f>
        <v>2</v>
      </c>
      <c r="Z42" s="1256">
        <f ca="1">OFFSET(Z42,0,-1)+1</f>
        <v>3</v>
      </c>
      <c r="AA42" s="5480">
        <f ca="1">OFFSET(AA42,0,-1)+1</f>
        <v>4</v>
      </c>
      <c r="AB42" s="5480"/>
      <c r="AC42" s="1256">
        <f ca="1">OFFSET(AC42,0,-2)+1</f>
        <v>5</v>
      </c>
      <c r="AD42" s="1256">
        <f ca="1">OFFSET(AD42,0,-1)+1</f>
        <v>6</v>
      </c>
      <c r="AE42" s="1256"/>
      <c r="AF42" s="1256">
        <f ca="1">OFFSET(AF42,0,-1)+1</f>
        <v>1</v>
      </c>
      <c r="AG42" s="1256">
        <f ca="1">OFFSET(AG42,0,-1)+1</f>
        <v>2</v>
      </c>
      <c r="AH42" s="1256">
        <f ca="1">OFFSET(AH42,0,-1)+1</f>
        <v>3</v>
      </c>
      <c r="AI42" s="5480">
        <f ca="1">OFFSET(AI42,0,-1)+1</f>
        <v>4</v>
      </c>
      <c r="AJ42" s="5480"/>
      <c r="AK42" s="1256">
        <f ca="1">OFFSET(AK42,0,-2)+1</f>
        <v>5</v>
      </c>
      <c r="AL42" s="1166">
        <f ca="1">OFFSET(AL42,0,-1)</f>
        <v>5</v>
      </c>
      <c r="AM42" s="1256">
        <f ca="1">OFFSET(AM42,0,-1)+1</f>
        <v>6</v>
      </c>
      <c r="AN42" s="449"/>
      <c r="AO42" s="449"/>
      <c r="AP42" s="449"/>
      <c r="AQ42" s="449"/>
      <c r="AR42" s="449"/>
      <c r="AS42" s="434">
        <v>0</v>
      </c>
    </row>
    <row r="43" spans="1:45" ht="21.95" customHeight="1">
      <c r="A43" s="1284" t="s">
        <v>217</v>
      </c>
      <c r="B43" s="1284"/>
      <c r="C43" s="1284"/>
      <c r="D43" s="1284"/>
      <c r="E43" s="5469">
        <v>1</v>
      </c>
      <c r="F43" s="1284"/>
      <c r="G43" s="1284"/>
      <c r="H43" s="1284"/>
      <c r="I43" s="1284"/>
      <c r="J43" s="1284"/>
      <c r="K43" s="1284"/>
      <c r="L43" s="1285"/>
      <c r="M43" s="1286"/>
      <c r="N43" s="1286"/>
      <c r="O43" s="1286"/>
      <c r="P43" s="299"/>
      <c r="Q43" s="298"/>
      <c r="R43" s="293"/>
      <c r="S43" s="1257">
        <f>INDEX(PT_DIFFERENTIATION_NUM_NTAR,MATCH(A43,PT_DIFFERENTIATION_NTAR_ID,0))</f>
        <v>0</v>
      </c>
      <c r="T43" s="236" t="s">
        <v>155</v>
      </c>
      <c r="U43" s="238"/>
      <c r="V43" s="5463"/>
      <c r="W43" s="5464"/>
      <c r="X43" s="5464"/>
      <c r="Y43" s="5464"/>
      <c r="Z43" s="5464"/>
      <c r="AA43" s="5464"/>
      <c r="AB43" s="5464"/>
      <c r="AC43" s="5465"/>
      <c r="AD43" s="5463" t="str">
        <f>INDEX(PT_DIFFERENTIATION_NTAR,MATCH(A43,PT_DIFFERENTIATION_NTAR_ID,0))</f>
        <v/>
      </c>
      <c r="AE43" s="5464"/>
      <c r="AF43" s="5464"/>
      <c r="AG43" s="5464"/>
      <c r="AH43" s="5464"/>
      <c r="AI43" s="5464"/>
      <c r="AJ43" s="5464"/>
      <c r="AK43" s="5464"/>
      <c r="AL43" s="5465"/>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76">
        <v>21</v>
      </c>
    </row>
    <row r="44" spans="1:45" ht="21.95" customHeight="1">
      <c r="A44" s="1284" t="s">
        <v>217</v>
      </c>
      <c r="B44" s="1284" t="s">
        <v>218</v>
      </c>
      <c r="C44" s="1284"/>
      <c r="D44" s="1284"/>
      <c r="E44" s="5470"/>
      <c r="F44" s="5469">
        <v>1</v>
      </c>
      <c r="G44" s="1284"/>
      <c r="H44" s="1284"/>
      <c r="I44" s="1284"/>
      <c r="J44" s="1284"/>
      <c r="K44" s="1284"/>
      <c r="L44" s="1285"/>
      <c r="M44" s="1286"/>
      <c r="N44" s="1286"/>
      <c r="O44" s="1286"/>
      <c r="P44" s="1253"/>
      <c r="Q44" s="290"/>
      <c r="R44" s="291"/>
      <c r="S44" s="1257" t="str">
        <f>INDEX(PT_DIFFERENTIATION_NUM_TER,MATCH(B44,PT_DIFFERENTIATION_TER_ID,0))</f>
        <v>.</v>
      </c>
      <c r="T44" s="246" t="s">
        <v>490</v>
      </c>
      <c r="U44" s="238"/>
      <c r="V44" s="5463"/>
      <c r="W44" s="5464"/>
      <c r="X44" s="5464"/>
      <c r="Y44" s="5464"/>
      <c r="Z44" s="5464"/>
      <c r="AA44" s="5464"/>
      <c r="AB44" s="5464"/>
      <c r="AC44" s="5465"/>
      <c r="AD44" s="5463" t="str">
        <f>INDEX(PT_DIFFERENTIATION_TER,MATCH(B44,PT_DIFFERENTIATION_TER_ID,0))</f>
        <v/>
      </c>
      <c r="AE44" s="5464"/>
      <c r="AF44" s="5464"/>
      <c r="AG44" s="5464"/>
      <c r="AH44" s="5464"/>
      <c r="AI44" s="5464"/>
      <c r="AJ44" s="5464"/>
      <c r="AK44" s="5464"/>
      <c r="AL44" s="5465"/>
      <c r="AM44" s="1179" t="s">
        <v>491</v>
      </c>
      <c r="AO44" s="438"/>
      <c r="AP44" s="438" t="str">
        <f t="shared" si="1"/>
        <v>Территория действия тарифа</v>
      </c>
      <c r="AQ44" s="438"/>
      <c r="AR44" s="438"/>
      <c r="AS44" s="1076">
        <v>21</v>
      </c>
    </row>
    <row r="45" spans="1:45" ht="24" customHeight="1">
      <c r="A45" s="1284" t="s">
        <v>217</v>
      </c>
      <c r="B45" s="1284" t="s">
        <v>218</v>
      </c>
      <c r="C45" s="1284" t="s">
        <v>219</v>
      </c>
      <c r="D45" s="1284"/>
      <c r="E45" s="5470"/>
      <c r="F45" s="5470"/>
      <c r="G45" s="5469">
        <v>1</v>
      </c>
      <c r="H45" s="1284"/>
      <c r="I45" s="1284"/>
      <c r="J45" s="1284"/>
      <c r="K45" s="1284"/>
      <c r="L45" s="1285"/>
      <c r="M45" s="1286"/>
      <c r="N45" s="1286"/>
      <c r="O45" s="1286"/>
      <c r="P45" s="292"/>
      <c r="Q45" s="290"/>
      <c r="R45" s="291"/>
      <c r="S45" s="1257" t="str">
        <f>INDEX(PT_DIFFERENTIATION_NUM_CS,MATCH(C45,PT_DIFFERENTIATION_CS_ID,0))</f>
        <v>..</v>
      </c>
      <c r="T45" s="247" t="s">
        <v>492</v>
      </c>
      <c r="U45" s="238"/>
      <c r="V45" s="5463"/>
      <c r="W45" s="5464"/>
      <c r="X45" s="5464"/>
      <c r="Y45" s="5464"/>
      <c r="Z45" s="5464"/>
      <c r="AA45" s="5464"/>
      <c r="AB45" s="5464"/>
      <c r="AC45" s="5465"/>
      <c r="AD45" s="5463" t="str">
        <f>INDEX(PT_DIFFERENTIATION_CS,MATCH(C45,PT_DIFFERENTIATION_CS_ID,0))</f>
        <v/>
      </c>
      <c r="AE45" s="5464"/>
      <c r="AF45" s="5464"/>
      <c r="AG45" s="5464"/>
      <c r="AH45" s="5464"/>
      <c r="AI45" s="5464"/>
      <c r="AJ45" s="5464"/>
      <c r="AK45" s="5464"/>
      <c r="AL45" s="5465"/>
      <c r="AM45" s="1179" t="s">
        <v>493</v>
      </c>
      <c r="AO45" s="438"/>
      <c r="AP45" s="438" t="str">
        <f t="shared" si="1"/>
        <v xml:space="preserve">Наименование системы теплоснабжения </v>
      </c>
      <c r="AQ45" s="438"/>
      <c r="AR45" s="438"/>
      <c r="AS45" s="1076">
        <v>23</v>
      </c>
    </row>
    <row r="46" spans="1:45" ht="21.95" customHeight="1">
      <c r="A46" s="1284" t="s">
        <v>217</v>
      </c>
      <c r="B46" s="1284" t="s">
        <v>218</v>
      </c>
      <c r="C46" s="1284" t="s">
        <v>219</v>
      </c>
      <c r="D46" s="1284" t="s">
        <v>220</v>
      </c>
      <c r="E46" s="5470"/>
      <c r="F46" s="5470"/>
      <c r="G46" s="5470"/>
      <c r="H46" s="5469">
        <v>1</v>
      </c>
      <c r="I46" s="1284"/>
      <c r="J46" s="1284"/>
      <c r="K46" s="1284"/>
      <c r="L46" s="1285"/>
      <c r="M46" s="1286"/>
      <c r="N46" s="1286"/>
      <c r="O46" s="1286"/>
      <c r="P46" s="292"/>
      <c r="Q46" s="290"/>
      <c r="R46" s="291"/>
      <c r="S46" s="1257" t="str">
        <f>INDEX(PT_DIFFERENTIATION_NUM_IST_TE,MATCH(D46,PT_DIFFERENTIATION_IST_TE_ID,0))</f>
        <v>...</v>
      </c>
      <c r="T46" s="248" t="s">
        <v>494</v>
      </c>
      <c r="U46" s="238"/>
      <c r="V46" s="5463"/>
      <c r="W46" s="5464"/>
      <c r="X46" s="5464"/>
      <c r="Y46" s="5464"/>
      <c r="Z46" s="5464"/>
      <c r="AA46" s="5464"/>
      <c r="AB46" s="5464"/>
      <c r="AC46" s="5465"/>
      <c r="AD46" s="5463" t="str">
        <f>INDEX(PT_DIFFERENTIATION_IST_TE,MATCH(D46,PT_DIFFERENTIATION_IST_TE_ID,0))</f>
        <v/>
      </c>
      <c r="AE46" s="5464"/>
      <c r="AF46" s="5464"/>
      <c r="AG46" s="5464"/>
      <c r="AH46" s="5464"/>
      <c r="AI46" s="5464"/>
      <c r="AJ46" s="5464"/>
      <c r="AK46" s="5464"/>
      <c r="AL46" s="5465"/>
      <c r="AM46" s="1179" t="s">
        <v>495</v>
      </c>
      <c r="AO46" s="438"/>
      <c r="AP46" s="438" t="str">
        <f t="shared" si="1"/>
        <v xml:space="preserve">Источник тепловой энергии  </v>
      </c>
      <c r="AQ46" s="438"/>
      <c r="AR46" s="438"/>
      <c r="AS46" s="1076">
        <v>21</v>
      </c>
    </row>
    <row r="47" spans="1:45" s="4275" customFormat="1" ht="0" hidden="1" customHeight="1">
      <c r="A47" s="1264" t="s">
        <v>217</v>
      </c>
      <c r="B47" s="1264" t="s">
        <v>218</v>
      </c>
      <c r="C47" s="1264" t="s">
        <v>219</v>
      </c>
      <c r="D47" s="1264" t="s">
        <v>220</v>
      </c>
      <c r="E47" s="5470"/>
      <c r="F47" s="5470"/>
      <c r="G47" s="5470"/>
      <c r="H47" s="5470"/>
      <c r="I47" s="5471" t="str">
        <f>S46&amp;".1"</f>
        <v>....1</v>
      </c>
      <c r="J47" s="1264"/>
      <c r="K47" s="1264"/>
      <c r="L47" s="1267" t="s">
        <v>496</v>
      </c>
      <c r="M47" s="448"/>
      <c r="N47" s="448"/>
      <c r="O47" s="448"/>
      <c r="P47" s="5473">
        <v>1</v>
      </c>
      <c r="Q47" s="1252"/>
      <c r="R47" s="294"/>
      <c r="S47" s="967"/>
      <c r="T47" s="1304"/>
      <c r="U47" s="1305"/>
      <c r="V47" s="5500"/>
      <c r="W47" s="5501"/>
      <c r="X47" s="5501"/>
      <c r="Y47" s="5501"/>
      <c r="Z47" s="5501"/>
      <c r="AA47" s="5501"/>
      <c r="AB47" s="5501"/>
      <c r="AC47" s="5502"/>
      <c r="AD47" s="5500"/>
      <c r="AE47" s="5501"/>
      <c r="AF47" s="5501"/>
      <c r="AG47" s="5501"/>
      <c r="AH47" s="5501"/>
      <c r="AI47" s="5501"/>
      <c r="AJ47" s="5501"/>
      <c r="AK47" s="5501"/>
      <c r="AL47" s="5502"/>
      <c r="AM47" s="1306"/>
      <c r="AO47" s="438"/>
      <c r="AP47" s="438" t="str">
        <f t="shared" si="1"/>
        <v/>
      </c>
      <c r="AQ47" s="438"/>
      <c r="AR47" s="438"/>
      <c r="AS47" s="449">
        <v>0</v>
      </c>
    </row>
    <row r="48" spans="1:45" ht="21.95" customHeight="1">
      <c r="A48" s="1284" t="s">
        <v>217</v>
      </c>
      <c r="B48" s="1284" t="s">
        <v>218</v>
      </c>
      <c r="C48" s="1284" t="s">
        <v>219</v>
      </c>
      <c r="D48" s="1284" t="s">
        <v>220</v>
      </c>
      <c r="E48" s="5470"/>
      <c r="F48" s="5470"/>
      <c r="G48" s="5470"/>
      <c r="H48" s="5470"/>
      <c r="I48" s="5472"/>
      <c r="J48" s="5471" t="str">
        <f>S46&amp;".1"</f>
        <v>....1</v>
      </c>
      <c r="K48" s="1284"/>
      <c r="L48" s="1285" t="s">
        <v>499</v>
      </c>
      <c r="P48" s="5473"/>
      <c r="Q48" s="5473">
        <v>1</v>
      </c>
      <c r="R48" s="295"/>
      <c r="S48" s="1257" t="str">
        <f>$J48</f>
        <v>....1</v>
      </c>
      <c r="T48" s="224" t="s">
        <v>500</v>
      </c>
      <c r="U48" s="238"/>
      <c r="V48" s="5457"/>
      <c r="W48" s="5458"/>
      <c r="X48" s="5458"/>
      <c r="Y48" s="5458"/>
      <c r="Z48" s="5458"/>
      <c r="AA48" s="5458"/>
      <c r="AB48" s="5458"/>
      <c r="AC48" s="5459"/>
      <c r="AD48" s="5457"/>
      <c r="AE48" s="5458"/>
      <c r="AF48" s="5458"/>
      <c r="AG48" s="5458"/>
      <c r="AH48" s="5458"/>
      <c r="AI48" s="5458"/>
      <c r="AJ48" s="5458"/>
      <c r="AK48" s="5458"/>
      <c r="AL48" s="5459"/>
      <c r="AM48" s="1179" t="s">
        <v>501</v>
      </c>
      <c r="AO48" s="438"/>
      <c r="AP48" s="438" t="str">
        <f t="shared" si="1"/>
        <v>Группа потребителей</v>
      </c>
      <c r="AQ48" s="438"/>
      <c r="AR48" s="438"/>
      <c r="AS48" s="1076">
        <v>21</v>
      </c>
    </row>
    <row r="49" spans="1:45" ht="21.95" customHeight="1">
      <c r="A49" s="1284" t="s">
        <v>217</v>
      </c>
      <c r="B49" s="1284" t="s">
        <v>218</v>
      </c>
      <c r="C49" s="1284" t="s">
        <v>219</v>
      </c>
      <c r="D49" s="1284" t="s">
        <v>220</v>
      </c>
      <c r="E49" s="5470"/>
      <c r="F49" s="5470"/>
      <c r="G49" s="5470"/>
      <c r="H49" s="5470"/>
      <c r="I49" s="5472"/>
      <c r="J49" s="5472"/>
      <c r="K49" s="5471" t="str">
        <f>J48&amp;".1"</f>
        <v>....1.1</v>
      </c>
      <c r="L49" s="1285" t="s">
        <v>502</v>
      </c>
      <c r="P49" s="5473"/>
      <c r="Q49" s="5473"/>
      <c r="R49" s="295">
        <v>1</v>
      </c>
      <c r="S49" s="1257" t="str">
        <f>$K49</f>
        <v>....1.1</v>
      </c>
      <c r="T49" s="1268"/>
      <c r="U49" s="238"/>
      <c r="V49" s="689"/>
      <c r="W49" s="263"/>
      <c r="X49" s="689"/>
      <c r="Y49" s="1178"/>
      <c r="Z49" s="5474"/>
      <c r="AA49" s="5338" t="s">
        <v>66</v>
      </c>
      <c r="AB49" s="5474"/>
      <c r="AC49" s="5338" t="s">
        <v>66</v>
      </c>
      <c r="AD49" s="689"/>
      <c r="AE49" s="263"/>
      <c r="AF49" s="689"/>
      <c r="AG49" s="1178"/>
      <c r="AH49" s="5474"/>
      <c r="AI49" s="5338" t="s">
        <v>66</v>
      </c>
      <c r="AJ49" s="5476"/>
      <c r="AK49" s="5338" t="s">
        <v>66</v>
      </c>
      <c r="AL49" s="1269"/>
      <c r="AM49" s="5492" t="s">
        <v>541</v>
      </c>
      <c r="AN49" s="449" t="e">
        <f ca="1">STRCHECKDATE(V50:AL50)</f>
        <v>#NAME?</v>
      </c>
      <c r="AO49" s="438"/>
      <c r="AP49" s="438" t="str">
        <f t="shared" si="1"/>
        <v/>
      </c>
      <c r="AQ49" s="438"/>
      <c r="AR49" s="438"/>
      <c r="AS49" s="1076">
        <v>21</v>
      </c>
    </row>
    <row r="50" spans="1:45" ht="0" hidden="1" customHeight="1">
      <c r="A50" s="1284" t="s">
        <v>217</v>
      </c>
      <c r="B50" s="1284" t="s">
        <v>218</v>
      </c>
      <c r="C50" s="1284" t="s">
        <v>219</v>
      </c>
      <c r="D50" s="1284" t="s">
        <v>220</v>
      </c>
      <c r="E50" s="5470"/>
      <c r="F50" s="5470"/>
      <c r="G50" s="5470"/>
      <c r="H50" s="5470"/>
      <c r="I50" s="5472"/>
      <c r="J50" s="5472"/>
      <c r="K50" s="5471"/>
      <c r="L50" s="1285"/>
      <c r="P50" s="5473"/>
      <c r="Q50" s="5473"/>
      <c r="R50" s="295"/>
      <c r="S50" s="1263"/>
      <c r="T50" s="238"/>
      <c r="U50" s="238"/>
      <c r="V50" s="263"/>
      <c r="W50" s="263"/>
      <c r="X50" s="263"/>
      <c r="Y50" s="266" t="str">
        <f>Z49&amp;"-"&amp;AB49</f>
        <v>-</v>
      </c>
      <c r="Z50" s="5475"/>
      <c r="AA50" s="5338"/>
      <c r="AB50" s="5475"/>
      <c r="AC50" s="5338"/>
      <c r="AD50" s="263"/>
      <c r="AE50" s="263"/>
      <c r="AF50" s="263"/>
      <c r="AG50" s="266" t="str">
        <f>AH49&amp;"-"&amp;AJ49</f>
        <v>-</v>
      </c>
      <c r="AH50" s="5475"/>
      <c r="AI50" s="5338"/>
      <c r="AJ50" s="5477"/>
      <c r="AK50" s="5338"/>
      <c r="AL50" s="1270"/>
      <c r="AM50" s="5493"/>
      <c r="AO50" s="438"/>
      <c r="AP50" s="438" t="str">
        <f t="shared" si="1"/>
        <v/>
      </c>
      <c r="AQ50" s="438"/>
      <c r="AR50" s="438"/>
      <c r="AS50" s="1076">
        <v>0</v>
      </c>
    </row>
    <row r="51" spans="1:45" ht="11.45" customHeight="1">
      <c r="A51" s="1284" t="s">
        <v>217</v>
      </c>
      <c r="B51" s="1284" t="s">
        <v>218</v>
      </c>
      <c r="C51" s="1284" t="s">
        <v>219</v>
      </c>
      <c r="D51" s="1284" t="s">
        <v>220</v>
      </c>
      <c r="E51" s="5470"/>
      <c r="F51" s="5470"/>
      <c r="G51" s="5470"/>
      <c r="H51" s="5470"/>
      <c r="I51" s="5472"/>
      <c r="J51" s="5471"/>
      <c r="K51" s="1284"/>
      <c r="L51" s="1285"/>
      <c r="P51" s="5473"/>
      <c r="Q51" s="5473"/>
      <c r="R51" s="294"/>
      <c r="S51" s="1199"/>
      <c r="T51" s="225" t="s">
        <v>504</v>
      </c>
      <c r="U51" s="305"/>
      <c r="V51" s="305"/>
      <c r="W51" s="305"/>
      <c r="X51" s="305"/>
      <c r="Y51" s="305"/>
      <c r="Z51" s="305"/>
      <c r="AA51" s="305"/>
      <c r="AB51" s="305"/>
      <c r="AC51" s="305"/>
      <c r="AD51" s="305"/>
      <c r="AE51" s="305"/>
      <c r="AF51" s="305"/>
      <c r="AG51" s="305"/>
      <c r="AH51" s="305"/>
      <c r="AI51" s="305"/>
      <c r="AJ51" s="305"/>
      <c r="AK51" s="305"/>
      <c r="AL51" s="262"/>
      <c r="AM51" s="5494"/>
      <c r="AO51" s="438"/>
      <c r="AP51" s="438" t="str">
        <f t="shared" si="1"/>
        <v>Добавить вид теплоносителя (параметры теплоносителя)</v>
      </c>
      <c r="AQ51" s="438"/>
      <c r="AR51" s="438"/>
      <c r="AS51" s="1076">
        <v>11</v>
      </c>
    </row>
    <row r="52" spans="1:45" ht="11.45" customHeight="1">
      <c r="A52" s="1284" t="s">
        <v>217</v>
      </c>
      <c r="B52" s="1284" t="s">
        <v>218</v>
      </c>
      <c r="C52" s="1284" t="s">
        <v>219</v>
      </c>
      <c r="D52" s="1284" t="s">
        <v>220</v>
      </c>
      <c r="E52" s="5470"/>
      <c r="F52" s="5470"/>
      <c r="G52" s="5470"/>
      <c r="H52" s="5470"/>
      <c r="I52" s="5471"/>
      <c r="J52" s="1284"/>
      <c r="K52" s="1284"/>
      <c r="L52" s="1285"/>
      <c r="P52" s="5473"/>
      <c r="Q52" s="1252"/>
      <c r="R52" s="294"/>
      <c r="S52" s="1199"/>
      <c r="T52" s="303" t="s">
        <v>505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76">
        <v>11</v>
      </c>
    </row>
    <row r="53" spans="1:45" ht="0" hidden="1" customHeight="1">
      <c r="A53" s="1284" t="s">
        <v>217</v>
      </c>
      <c r="B53" s="1284" t="s">
        <v>218</v>
      </c>
      <c r="C53" s="1284" t="s">
        <v>219</v>
      </c>
      <c r="D53" s="1284" t="s">
        <v>220</v>
      </c>
      <c r="E53" s="5470"/>
      <c r="F53" s="5470"/>
      <c r="G53" s="5470"/>
      <c r="H53" s="5469"/>
      <c r="I53" s="1284"/>
      <c r="J53" s="1284"/>
      <c r="K53" s="1284"/>
      <c r="L53" s="1285"/>
      <c r="M53" s="1286"/>
      <c r="N53" s="1286"/>
      <c r="O53" s="475"/>
      <c r="P53" s="298"/>
      <c r="Q53" s="313"/>
      <c r="R53" s="293"/>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38"/>
      <c r="AP53" s="438" t="str">
        <f t="shared" si="1"/>
        <v/>
      </c>
      <c r="AQ53" s="438"/>
      <c r="AR53" s="438"/>
      <c r="AS53" s="1076">
        <v>0</v>
      </c>
    </row>
    <row r="54" spans="1:45" s="4275" customFormat="1" ht="0" hidden="1" customHeight="1">
      <c r="A54" s="1264" t="s">
        <v>217</v>
      </c>
      <c r="B54" s="1264" t="s">
        <v>218</v>
      </c>
      <c r="C54" s="1264" t="s">
        <v>219</v>
      </c>
      <c r="D54" s="1235"/>
      <c r="E54" s="5470"/>
      <c r="F54" s="5470"/>
      <c r="G54" s="5469"/>
      <c r="H54" s="1235"/>
      <c r="I54" s="1235"/>
      <c r="J54" s="1235"/>
      <c r="K54" s="1235"/>
      <c r="L54" s="1260"/>
      <c r="M54" s="1236"/>
      <c r="N54" s="1236"/>
      <c r="P54" s="1237"/>
      <c r="Q54" s="1238"/>
      <c r="R54" s="1237"/>
      <c r="S54" s="1243"/>
      <c r="T54" s="1246" t="s">
        <v>507</v>
      </c>
      <c r="U54" s="1245"/>
      <c r="V54" s="1245"/>
      <c r="W54" s="1245"/>
      <c r="X54" s="1245"/>
      <c r="Y54" s="1245"/>
      <c r="Z54" s="1245"/>
      <c r="AA54" s="1245"/>
      <c r="AB54" s="1245"/>
      <c r="AC54" s="1245"/>
      <c r="AD54" s="1245"/>
      <c r="AE54" s="1245"/>
      <c r="AF54" s="1245"/>
      <c r="AG54" s="1245"/>
      <c r="AH54" s="1245"/>
      <c r="AI54" s="1245"/>
      <c r="AJ54" s="1245"/>
      <c r="AK54" s="1245"/>
      <c r="AL54" s="1245"/>
      <c r="AM54" s="1245"/>
      <c r="AO54" s="721"/>
      <c r="AP54" s="721" t="str">
        <f t="shared" si="1"/>
        <v>Добавить источник для дифференциации</v>
      </c>
      <c r="AQ54" s="721"/>
      <c r="AR54" s="721"/>
      <c r="AS54" s="456">
        <v>0</v>
      </c>
    </row>
    <row r="55" spans="1:45" s="4275" customFormat="1" ht="0" hidden="1" customHeight="1">
      <c r="A55" s="1264" t="s">
        <v>217</v>
      </c>
      <c r="B55" s="1264" t="s">
        <v>218</v>
      </c>
      <c r="C55" s="1235"/>
      <c r="D55" s="1235"/>
      <c r="E55" s="5470"/>
      <c r="F55" s="5469"/>
      <c r="G55" s="1235"/>
      <c r="H55" s="1235"/>
      <c r="I55" s="1235"/>
      <c r="J55" s="1235"/>
      <c r="K55" s="1235"/>
      <c r="L55" s="1260"/>
      <c r="M55" s="1242"/>
      <c r="N55" s="1242"/>
      <c r="P55" s="1237"/>
      <c r="Q55" s="1238"/>
      <c r="R55" s="1237"/>
      <c r="S55" s="1243"/>
      <c r="T55" s="1246" t="s">
        <v>312</v>
      </c>
      <c r="U55" s="1245"/>
      <c r="V55" s="1245"/>
      <c r="W55" s="1245"/>
      <c r="X55" s="1245"/>
      <c r="Y55" s="1245"/>
      <c r="Z55" s="1245"/>
      <c r="AA55" s="1245"/>
      <c r="AB55" s="1245"/>
      <c r="AC55" s="1245"/>
      <c r="AD55" s="1245"/>
      <c r="AE55" s="1245"/>
      <c r="AF55" s="1245"/>
      <c r="AG55" s="1245"/>
      <c r="AH55" s="1245"/>
      <c r="AI55" s="1245"/>
      <c r="AJ55" s="1245"/>
      <c r="AK55" s="1245"/>
      <c r="AL55" s="1245"/>
      <c r="AM55" s="1245"/>
      <c r="AO55" s="721"/>
      <c r="AP55" s="721" t="str">
        <f t="shared" si="1"/>
        <v>Добавить централизованную систему для дифференциации</v>
      </c>
      <c r="AQ55" s="721"/>
      <c r="AR55" s="721"/>
      <c r="AS55" s="456">
        <v>0</v>
      </c>
    </row>
    <row r="56" spans="1:45" s="4275" customFormat="1" ht="0" hidden="1" customHeight="1">
      <c r="A56" s="1264" t="s">
        <v>217</v>
      </c>
      <c r="B56" s="1264"/>
      <c r="C56" s="1264"/>
      <c r="D56" s="1264"/>
      <c r="E56" s="5469"/>
      <c r="F56" s="1264"/>
      <c r="G56" s="1264"/>
      <c r="H56" s="1264"/>
      <c r="I56" s="1264"/>
      <c r="J56" s="1264"/>
      <c r="K56" s="1264"/>
      <c r="L56" s="1267"/>
      <c r="M56" s="1242"/>
      <c r="N56" s="1242"/>
      <c r="O56" s="456"/>
      <c r="P56" s="318"/>
      <c r="Q56" s="1265"/>
      <c r="R56" s="318"/>
      <c r="S56" s="1243"/>
      <c r="T56" s="1246" t="s">
        <v>360</v>
      </c>
      <c r="U56" s="1245"/>
      <c r="V56" s="1245"/>
      <c r="W56" s="1245"/>
      <c r="X56" s="1245"/>
      <c r="Y56" s="1245"/>
      <c r="Z56" s="1245"/>
      <c r="AA56" s="1245"/>
      <c r="AB56" s="1245"/>
      <c r="AC56" s="1245"/>
      <c r="AD56" s="1245"/>
      <c r="AE56" s="1245"/>
      <c r="AF56" s="1245"/>
      <c r="AG56" s="1245"/>
      <c r="AH56" s="1245"/>
      <c r="AI56" s="1245"/>
      <c r="AJ56" s="1245"/>
      <c r="AK56" s="1245"/>
      <c r="AL56" s="1245"/>
      <c r="AM56" s="1245"/>
      <c r="AO56" s="438"/>
      <c r="AP56" s="438" t="str">
        <f t="shared" si="1"/>
        <v>Добавить территорию для дифференциации</v>
      </c>
      <c r="AQ56" s="438"/>
      <c r="AR56" s="438"/>
      <c r="AS56" s="449">
        <v>0</v>
      </c>
    </row>
    <row r="57" spans="1:45" s="4275" customFormat="1" ht="4.1500000000000004" customHeight="1">
      <c r="A57" s="1235"/>
      <c r="B57" s="1235"/>
      <c r="C57" s="1235"/>
      <c r="D57" s="1235"/>
      <c r="E57" s="1264"/>
      <c r="F57" s="1235"/>
      <c r="G57" s="1235"/>
      <c r="H57" s="1235"/>
      <c r="I57" s="1235"/>
      <c r="J57" s="1235"/>
      <c r="K57" s="1235"/>
      <c r="L57" s="1260"/>
      <c r="M57" s="1242"/>
      <c r="N57" s="1242"/>
      <c r="P57" s="1237"/>
      <c r="Q57" s="1238"/>
      <c r="R57" s="1237"/>
      <c r="S57" s="1243"/>
      <c r="T57" s="1246" t="s">
        <v>361</v>
      </c>
      <c r="U57" s="1245"/>
      <c r="V57" s="1245"/>
      <c r="W57" s="1245"/>
      <c r="X57" s="1245"/>
      <c r="Y57" s="1245"/>
      <c r="Z57" s="1245"/>
      <c r="AA57" s="1245"/>
      <c r="AB57" s="1245"/>
      <c r="AC57" s="1245"/>
      <c r="AD57" s="1245"/>
      <c r="AE57" s="1245"/>
      <c r="AF57" s="1245"/>
      <c r="AG57" s="1245"/>
      <c r="AH57" s="1245"/>
      <c r="AI57" s="1245"/>
      <c r="AJ57" s="1245"/>
      <c r="AK57" s="1245"/>
      <c r="AL57" s="1245"/>
      <c r="AM57" s="1245"/>
      <c r="AO57" s="721"/>
      <c r="AP57" s="721" t="str">
        <f t="shared" si="1"/>
        <v>Добавить наименование тарифа</v>
      </c>
      <c r="AQ57" s="721"/>
      <c r="AR57" s="721"/>
      <c r="AS57" s="456">
        <v>4</v>
      </c>
    </row>
    <row r="58" spans="1:45" ht="11.45" customHeight="1">
      <c r="M58" s="1081"/>
      <c r="N58" s="1081"/>
      <c r="O58" s="475"/>
      <c r="P58" s="1076"/>
      <c r="Q58" s="1076"/>
      <c r="R58" s="1076"/>
      <c r="S58" s="1076"/>
      <c r="AN58" s="1076"/>
      <c r="AO58" s="1076"/>
      <c r="AP58" s="1076"/>
      <c r="AQ58" s="1076"/>
      <c r="AR58" s="1076"/>
      <c r="AS58" s="1076">
        <v>11</v>
      </c>
    </row>
    <row r="59" spans="1:45" ht="14.65" customHeight="1">
      <c r="O59" s="475"/>
      <c r="S59" s="1174"/>
      <c r="T59" s="5468"/>
      <c r="U59" s="5468"/>
      <c r="V59" s="5468"/>
      <c r="W59" s="5468"/>
      <c r="X59" s="5468"/>
      <c r="Y59" s="5468"/>
      <c r="Z59" s="5468"/>
      <c r="AA59" s="5468"/>
      <c r="AB59" s="5468"/>
      <c r="AC59" s="5468"/>
      <c r="AD59" s="5468"/>
      <c r="AE59" s="5468"/>
      <c r="AF59" s="5468"/>
      <c r="AG59" s="5468"/>
      <c r="AH59" s="5468"/>
      <c r="AI59" s="5468"/>
      <c r="AJ59" s="5468"/>
      <c r="AK59" s="5468"/>
      <c r="AL59" s="5468"/>
      <c r="AM59" s="5468"/>
      <c r="AS59" s="1076">
        <v>14</v>
      </c>
    </row>
    <row r="60" spans="1:45" ht="14.65" customHeight="1">
      <c r="O60" s="475"/>
      <c r="T60" s="5468"/>
      <c r="U60" s="5468"/>
      <c r="V60" s="5468"/>
      <c r="W60" s="5468"/>
      <c r="X60" s="5468"/>
      <c r="Y60" s="5468"/>
      <c r="Z60" s="5468"/>
      <c r="AA60" s="5468"/>
      <c r="AB60" s="5468"/>
      <c r="AC60" s="5468"/>
      <c r="AD60" s="5468"/>
      <c r="AE60" s="5468"/>
      <c r="AF60" s="5468"/>
      <c r="AG60" s="5468"/>
      <c r="AH60" s="5468"/>
      <c r="AI60" s="5468"/>
      <c r="AJ60" s="5468"/>
      <c r="AK60" s="5468"/>
      <c r="AL60" s="5468"/>
      <c r="AM60" s="5468"/>
      <c r="AS60" s="1076">
        <v>14</v>
      </c>
    </row>
    <row r="61" spans="1:45" ht="14.65" customHeight="1">
      <c r="O61" s="475"/>
      <c r="T61" s="5468"/>
      <c r="U61" s="5468"/>
      <c r="V61" s="5468"/>
      <c r="W61" s="5468"/>
      <c r="X61" s="5468"/>
      <c r="Y61" s="5468"/>
      <c r="Z61" s="5468"/>
      <c r="AA61" s="5468"/>
      <c r="AB61" s="5468"/>
      <c r="AC61" s="5468"/>
      <c r="AD61" s="5468"/>
      <c r="AE61" s="5468"/>
      <c r="AF61" s="5468"/>
      <c r="AG61" s="5468"/>
      <c r="AH61" s="5468"/>
      <c r="AI61" s="5468"/>
      <c r="AJ61" s="5468"/>
      <c r="AK61" s="5468"/>
      <c r="AL61" s="5468"/>
      <c r="AM61" s="5468"/>
      <c r="AS61" s="1076">
        <v>14</v>
      </c>
    </row>
    <row r="62" spans="1:45" ht="14.65" customHeight="1">
      <c r="O62" s="475"/>
      <c r="AS62" s="1076">
        <v>14</v>
      </c>
    </row>
    <row r="63" spans="1:45" ht="14.65" customHeight="1">
      <c r="O63" s="475"/>
      <c r="S63" s="1174"/>
      <c r="T63" s="5373"/>
      <c r="U63" s="5468"/>
      <c r="V63" s="5468"/>
      <c r="W63" s="5468"/>
      <c r="X63" s="5468"/>
      <c r="Y63" s="5468"/>
      <c r="Z63" s="5468"/>
      <c r="AA63" s="5468"/>
      <c r="AB63" s="5468"/>
      <c r="AC63" s="5468"/>
      <c r="AD63" s="5468"/>
      <c r="AE63" s="5468"/>
      <c r="AF63" s="5468"/>
      <c r="AG63" s="5468"/>
      <c r="AH63" s="5468"/>
      <c r="AI63" s="5468"/>
      <c r="AJ63" s="5468"/>
      <c r="AK63" s="5468"/>
      <c r="AL63" s="5468"/>
      <c r="AM63" s="5468"/>
      <c r="AS63" s="1076">
        <v>14</v>
      </c>
    </row>
    <row r="64" spans="1:45" ht="14.65" customHeight="1">
      <c r="O64" s="475"/>
      <c r="T64" s="5468"/>
      <c r="U64" s="5468"/>
      <c r="V64" s="5468"/>
      <c r="W64" s="5468"/>
      <c r="X64" s="5468"/>
      <c r="Y64" s="5468"/>
      <c r="Z64" s="5468"/>
      <c r="AA64" s="5468"/>
      <c r="AB64" s="5468"/>
      <c r="AC64" s="5468"/>
      <c r="AD64" s="5468"/>
      <c r="AE64" s="5468"/>
      <c r="AF64" s="5468"/>
      <c r="AG64" s="5468"/>
      <c r="AH64" s="5468"/>
      <c r="AI64" s="5468"/>
      <c r="AJ64" s="5468"/>
      <c r="AK64" s="5468"/>
      <c r="AL64" s="5468"/>
      <c r="AM64" s="5468"/>
      <c r="AS64" s="1076">
        <v>14</v>
      </c>
    </row>
    <row r="65" spans="1:45" ht="14.65" customHeight="1">
      <c r="T65" s="5468"/>
      <c r="U65" s="5468"/>
      <c r="V65" s="5468"/>
      <c r="W65" s="5468"/>
      <c r="X65" s="5468"/>
      <c r="Y65" s="5468"/>
      <c r="Z65" s="5468"/>
      <c r="AA65" s="5468"/>
      <c r="AB65" s="5468"/>
      <c r="AC65" s="5468"/>
      <c r="AD65" s="5468"/>
      <c r="AE65" s="5468"/>
      <c r="AF65" s="5468"/>
      <c r="AG65" s="5468"/>
      <c r="AH65" s="5468"/>
      <c r="AI65" s="5468"/>
      <c r="AJ65" s="5468"/>
      <c r="AK65" s="5468"/>
      <c r="AL65" s="5468"/>
      <c r="AM65" s="5468"/>
      <c r="AS65" s="1076">
        <v>14</v>
      </c>
    </row>
    <row r="66" spans="1:45" ht="22.5" hidden="1" customHeight="1">
      <c r="A66" s="1081" t="s">
        <v>82</v>
      </c>
      <c r="B66" s="1081">
        <v>0</v>
      </c>
      <c r="C66" s="1081">
        <v>0</v>
      </c>
      <c r="D66" s="1081">
        <v>0</v>
      </c>
      <c r="E66" s="1081">
        <v>0</v>
      </c>
      <c r="F66" s="1081">
        <v>0</v>
      </c>
      <c r="G66" s="1081">
        <v>0</v>
      </c>
      <c r="H66" s="1081">
        <v>0</v>
      </c>
      <c r="I66" s="1081">
        <v>0</v>
      </c>
      <c r="J66" s="1081">
        <v>0</v>
      </c>
      <c r="K66" s="1081">
        <v>0</v>
      </c>
      <c r="L66" s="1250">
        <v>0</v>
      </c>
      <c r="M66" s="1283">
        <v>0</v>
      </c>
      <c r="N66" s="1283">
        <v>0</v>
      </c>
      <c r="O66" s="1283">
        <v>0</v>
      </c>
      <c r="P66" s="1249">
        <v>0</v>
      </c>
      <c r="Q66" s="282">
        <v>3</v>
      </c>
      <c r="R66" s="282">
        <v>3</v>
      </c>
      <c r="S66" s="519">
        <v>12</v>
      </c>
      <c r="T66" s="1076">
        <v>31</v>
      </c>
      <c r="U66" s="1076">
        <v>0</v>
      </c>
      <c r="V66" s="1076">
        <v>0</v>
      </c>
      <c r="W66" s="1076">
        <v>0</v>
      </c>
      <c r="X66" s="1076">
        <v>0</v>
      </c>
      <c r="Y66" s="1076">
        <v>0</v>
      </c>
      <c r="Z66" s="1076">
        <v>0</v>
      </c>
      <c r="AA66" s="1076">
        <v>0</v>
      </c>
      <c r="AB66" s="1076">
        <v>0</v>
      </c>
      <c r="AC66" s="1076">
        <v>0</v>
      </c>
      <c r="AD66" s="1076">
        <v>24</v>
      </c>
      <c r="AE66" s="1076">
        <v>0</v>
      </c>
      <c r="AF66" s="1076">
        <v>24</v>
      </c>
      <c r="AG66" s="1076">
        <v>24</v>
      </c>
      <c r="AH66" s="1076">
        <v>11</v>
      </c>
      <c r="AI66" s="1076">
        <v>3</v>
      </c>
      <c r="AJ66" s="1076">
        <v>11</v>
      </c>
      <c r="AK66" s="1076">
        <v>0</v>
      </c>
      <c r="AL66" s="1076">
        <v>4</v>
      </c>
      <c r="AM66" s="1076">
        <v>115</v>
      </c>
      <c r="AN66" s="449">
        <v>10</v>
      </c>
      <c r="AO66" s="449">
        <v>10</v>
      </c>
      <c r="AP66" s="449">
        <v>10</v>
      </c>
      <c r="AQ66" s="449">
        <v>10</v>
      </c>
      <c r="AR66" s="449">
        <v>10</v>
      </c>
      <c r="AS66" s="1076">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4267" hidden="1"/>
    <col min="2" max="2" width="11" style="4267" hidden="1" customWidth="1"/>
    <col min="3" max="3" width="10.5703125" style="4267" hidden="1"/>
    <col min="4" max="4" width="11.85546875" style="4267" hidden="1" customWidth="1"/>
    <col min="5" max="5" width="10" style="4267" hidden="1" customWidth="1"/>
    <col min="6" max="6" width="8.7109375" style="4267" hidden="1" customWidth="1"/>
    <col min="7" max="7" width="7.5703125" style="4267" hidden="1" customWidth="1"/>
    <col min="8" max="8" width="11.42578125" style="4267" hidden="1" customWidth="1"/>
    <col min="9" max="9" width="12" style="4267" hidden="1" customWidth="1"/>
    <col min="10" max="10" width="9.85546875" style="4267" hidden="1" customWidth="1"/>
    <col min="11" max="12" width="11.42578125" style="4267" hidden="1" customWidth="1"/>
    <col min="13" max="13" width="19.140625" style="4272" hidden="1" customWidth="1"/>
    <col min="14" max="15" width="12.28515625" style="4302" hidden="1" customWidth="1"/>
    <col min="16" max="16" width="23.42578125" style="4302" hidden="1" customWidth="1"/>
    <col min="17" max="17" width="3.7109375" style="4302" hidden="1" customWidth="1"/>
    <col min="18" max="20" width="3" style="4303" customWidth="1"/>
    <col min="21" max="21" width="12" style="4304" customWidth="1"/>
    <col min="22" max="22" width="31" style="4267" customWidth="1"/>
    <col min="23" max="23" width="0.140625" style="4267" customWidth="1"/>
    <col min="24" max="28" width="21.7109375" style="4267" hidden="1" customWidth="1"/>
    <col min="29" max="29" width="11.7109375" style="4267" hidden="1" customWidth="1"/>
    <col min="30" max="30" width="3.7109375" style="4267" hidden="1" customWidth="1"/>
    <col min="31" max="31" width="11.7109375" style="4267" hidden="1" customWidth="1"/>
    <col min="32" max="32" width="8.5703125" style="4267" hidden="1" customWidth="1"/>
    <col min="33" max="33" width="21.7109375" style="4267" customWidth="1"/>
    <col min="34" max="37" width="21" style="4267" customWidth="1"/>
    <col min="38" max="38" width="11" style="4267" customWidth="1"/>
    <col min="39" max="39" width="3.7109375" style="4267" customWidth="1"/>
    <col min="40" max="40" width="11" style="4267" customWidth="1"/>
    <col min="41" max="41" width="8.5703125" style="4267" hidden="1" customWidth="1"/>
    <col min="42" max="42" width="4" style="4267" customWidth="1"/>
    <col min="43" max="43" width="115" style="4267" customWidth="1"/>
    <col min="44" max="48" width="10" style="4275" customWidth="1"/>
    <col min="49" max="49" width="10.5703125" style="4267" hidden="1"/>
  </cols>
  <sheetData>
    <row r="1" spans="1:49" ht="22.5" hidden="1" customHeight="1">
      <c r="AB1" s="265"/>
      <c r="AC1" s="265"/>
      <c r="AK1" s="265"/>
      <c r="AL1" s="265"/>
      <c r="AW1" s="1076" t="s">
        <v>14</v>
      </c>
    </row>
    <row r="2" spans="1:49" ht="21" hidden="1" customHeight="1">
      <c r="A2" s="1188"/>
      <c r="B2" s="1188"/>
      <c r="C2" s="1188"/>
      <c r="D2" s="1188"/>
      <c r="E2" s="5495">
        <v>1</v>
      </c>
      <c r="F2" s="1188"/>
      <c r="G2" s="1188"/>
      <c r="H2" s="1188"/>
      <c r="I2" s="1188"/>
      <c r="J2" s="1188"/>
      <c r="K2" s="1188"/>
      <c r="L2" s="1188"/>
      <c r="M2" s="1231"/>
      <c r="N2" s="626"/>
      <c r="O2" s="626"/>
      <c r="P2" s="626"/>
      <c r="Q2" s="299"/>
      <c r="R2" s="298"/>
      <c r="S2" s="298"/>
      <c r="T2" s="293"/>
      <c r="U2" s="1257" t="e">
        <f>INDEX(PT_DIFFERENTIATION_NUM_NTAR,MATCH(A2,PT_DIFFERENTIATION_NTAR_ID,0))</f>
        <v>#N/A</v>
      </c>
      <c r="V2" s="236" t="s">
        <v>155</v>
      </c>
      <c r="W2" s="238"/>
      <c r="X2" s="5463"/>
      <c r="Y2" s="5464"/>
      <c r="Z2" s="5464"/>
      <c r="AA2" s="5464"/>
      <c r="AB2" s="5464"/>
      <c r="AC2" s="5464"/>
      <c r="AD2" s="5464"/>
      <c r="AE2" s="5464"/>
      <c r="AF2" s="5465"/>
      <c r="AG2" s="5463" t="e">
        <f>INDEX(PT_DIFFERENTIATION_NTAR,MATCH(A2,PT_DIFFERENTIATION_NTAR_ID,0))</f>
        <v>#N/A</v>
      </c>
      <c r="AH2" s="5464"/>
      <c r="AI2" s="5464"/>
      <c r="AJ2" s="5464"/>
      <c r="AK2" s="5464"/>
      <c r="AL2" s="5464"/>
      <c r="AM2" s="5464"/>
      <c r="AN2" s="5464"/>
      <c r="AO2" s="5464"/>
      <c r="AP2" s="5465"/>
      <c r="AQ2" s="1179" t="s">
        <v>489</v>
      </c>
      <c r="AS2" s="438"/>
      <c r="AT2" s="438" t="str">
        <f t="shared" ref="AT2:AT8" si="0">IF(V2="","",V2)</f>
        <v>Наименование тарифа</v>
      </c>
      <c r="AU2" s="438"/>
      <c r="AV2" s="438"/>
      <c r="AW2" s="1076">
        <v>0</v>
      </c>
    </row>
    <row r="3" spans="1:49" ht="21" hidden="1" customHeight="1">
      <c r="A3" s="1188"/>
      <c r="B3" s="1188"/>
      <c r="C3" s="1188"/>
      <c r="D3" s="1188"/>
      <c r="E3" s="5496"/>
      <c r="F3" s="5495">
        <v>1</v>
      </c>
      <c r="G3" s="1188"/>
      <c r="H3" s="1188"/>
      <c r="I3" s="1188"/>
      <c r="J3" s="1188"/>
      <c r="K3" s="1188"/>
      <c r="L3" s="1188"/>
      <c r="M3" s="1231"/>
      <c r="N3" s="626"/>
      <c r="O3" s="626"/>
      <c r="P3" s="626"/>
      <c r="Q3" s="1253"/>
      <c r="R3" s="290"/>
      <c r="S3" s="447"/>
      <c r="T3" s="291"/>
      <c r="U3" s="1257" t="e">
        <f>INDEX(PT_DIFFERENTIATION_NUM_TER,MATCH(B3,PT_DIFFERENTIATION_TER_ID,0))</f>
        <v>#N/A</v>
      </c>
      <c r="V3" s="246" t="s">
        <v>490</v>
      </c>
      <c r="W3" s="238"/>
      <c r="X3" s="5463"/>
      <c r="Y3" s="5464"/>
      <c r="Z3" s="5464"/>
      <c r="AA3" s="5464"/>
      <c r="AB3" s="5464"/>
      <c r="AC3" s="5464"/>
      <c r="AD3" s="5464"/>
      <c r="AE3" s="5464"/>
      <c r="AF3" s="5465"/>
      <c r="AG3" s="5463" t="e">
        <f>INDEX(PT_DIFFERENTIATION_TER,MATCH(B3,PT_DIFFERENTIATION_TER_ID,0))</f>
        <v>#N/A</v>
      </c>
      <c r="AH3" s="5464"/>
      <c r="AI3" s="5464"/>
      <c r="AJ3" s="5464"/>
      <c r="AK3" s="5464"/>
      <c r="AL3" s="5464"/>
      <c r="AM3" s="5464"/>
      <c r="AN3" s="5464"/>
      <c r="AO3" s="5464"/>
      <c r="AP3" s="5465"/>
      <c r="AQ3" s="1179" t="s">
        <v>491</v>
      </c>
      <c r="AS3" s="438"/>
      <c r="AT3" s="438" t="str">
        <f t="shared" si="0"/>
        <v>Территория действия тарифа</v>
      </c>
      <c r="AU3" s="438"/>
      <c r="AV3" s="438"/>
      <c r="AW3" s="1076">
        <v>0</v>
      </c>
    </row>
    <row r="4" spans="1:49" ht="22.5" hidden="1" customHeight="1">
      <c r="A4" s="1188"/>
      <c r="B4" s="1188"/>
      <c r="C4" s="1188"/>
      <c r="D4" s="1188"/>
      <c r="E4" s="5496"/>
      <c r="F4" s="5496"/>
      <c r="G4" s="5495">
        <v>1</v>
      </c>
      <c r="H4" s="1188"/>
      <c r="I4" s="1188"/>
      <c r="J4" s="1188"/>
      <c r="K4" s="1188"/>
      <c r="L4" s="1188"/>
      <c r="M4" s="1231"/>
      <c r="N4" s="626"/>
      <c r="O4" s="626"/>
      <c r="P4" s="626"/>
      <c r="Q4" s="292"/>
      <c r="R4" s="290"/>
      <c r="S4" s="447"/>
      <c r="T4" s="291"/>
      <c r="U4" s="1257" t="e">
        <f>INDEX(PT_DIFFERENTIATION_NUM_CS,MATCH(C4,PT_DIFFERENTIATION_CS_ID,0))</f>
        <v>#N/A</v>
      </c>
      <c r="V4" s="247" t="s">
        <v>492</v>
      </c>
      <c r="W4" s="238"/>
      <c r="X4" s="5463"/>
      <c r="Y4" s="5464"/>
      <c r="Z4" s="5464"/>
      <c r="AA4" s="5464"/>
      <c r="AB4" s="5464"/>
      <c r="AC4" s="5464"/>
      <c r="AD4" s="5464"/>
      <c r="AE4" s="5464"/>
      <c r="AF4" s="5465"/>
      <c r="AG4" s="5463" t="e">
        <f>INDEX(PT_DIFFERENTIATION_CS,MATCH(C4,PT_DIFFERENTIATION_CS_ID,0))</f>
        <v>#N/A</v>
      </c>
      <c r="AH4" s="5464"/>
      <c r="AI4" s="5464"/>
      <c r="AJ4" s="5464"/>
      <c r="AK4" s="5464"/>
      <c r="AL4" s="5464"/>
      <c r="AM4" s="5464"/>
      <c r="AN4" s="5464"/>
      <c r="AO4" s="5464"/>
      <c r="AP4" s="5465"/>
      <c r="AQ4" s="1179" t="s">
        <v>493</v>
      </c>
      <c r="AS4" s="438"/>
      <c r="AT4" s="438" t="str">
        <f t="shared" si="0"/>
        <v xml:space="preserve">Наименование системы теплоснабжения </v>
      </c>
      <c r="AU4" s="438"/>
      <c r="AV4" s="438"/>
      <c r="AW4" s="1076">
        <v>0</v>
      </c>
    </row>
    <row r="5" spans="1:49" ht="21" hidden="1" customHeight="1">
      <c r="A5" s="1188"/>
      <c r="B5" s="1188"/>
      <c r="C5" s="1188"/>
      <c r="D5" s="1188"/>
      <c r="E5" s="5496"/>
      <c r="F5" s="5496"/>
      <c r="G5" s="5496"/>
      <c r="H5" s="5495">
        <v>1</v>
      </c>
      <c r="I5" s="1188"/>
      <c r="J5" s="1188"/>
      <c r="K5" s="1188"/>
      <c r="L5" s="1188"/>
      <c r="M5" s="1231"/>
      <c r="N5" s="626"/>
      <c r="O5" s="626"/>
      <c r="P5" s="626"/>
      <c r="Q5" s="292"/>
      <c r="R5" s="290"/>
      <c r="S5" s="447"/>
      <c r="T5" s="291"/>
      <c r="U5" s="1257" t="e">
        <f>INDEX(PT_DIFFERENTIATION_NUM_IST_TE,MATCH(D5,PT_DIFFERENTIATION_IST_TE_ID,0))</f>
        <v>#N/A</v>
      </c>
      <c r="V5" s="248" t="s">
        <v>494</v>
      </c>
      <c r="W5" s="238"/>
      <c r="X5" s="5463"/>
      <c r="Y5" s="5464"/>
      <c r="Z5" s="5464"/>
      <c r="AA5" s="5464"/>
      <c r="AB5" s="5464"/>
      <c r="AC5" s="5464"/>
      <c r="AD5" s="5464"/>
      <c r="AE5" s="5464"/>
      <c r="AF5" s="5465"/>
      <c r="AG5" s="5463" t="e">
        <f>INDEX(PT_DIFFERENTIATION_IST_TE,MATCH(D5,PT_DIFFERENTIATION_IST_TE_ID,0))</f>
        <v>#N/A</v>
      </c>
      <c r="AH5" s="5464"/>
      <c r="AI5" s="5464"/>
      <c r="AJ5" s="5464"/>
      <c r="AK5" s="5464"/>
      <c r="AL5" s="5464"/>
      <c r="AM5" s="5464"/>
      <c r="AN5" s="5464"/>
      <c r="AO5" s="5464"/>
      <c r="AP5" s="5465"/>
      <c r="AQ5" s="1179" t="s">
        <v>495</v>
      </c>
      <c r="AS5" s="438"/>
      <c r="AT5" s="438" t="str">
        <f t="shared" si="0"/>
        <v xml:space="preserve">Источник тепловой энергии  </v>
      </c>
      <c r="AU5" s="438"/>
      <c r="AV5" s="438"/>
      <c r="AW5" s="1076">
        <v>0</v>
      </c>
    </row>
    <row r="6" spans="1:49" ht="14.25" hidden="1" customHeight="1">
      <c r="A6" s="1188"/>
      <c r="B6" s="1188"/>
      <c r="C6" s="1188"/>
      <c r="D6" s="1188"/>
      <c r="E6" s="5496"/>
      <c r="F6" s="5496"/>
      <c r="G6" s="5496"/>
      <c r="H6" s="5496"/>
      <c r="I6" s="5328" t="e">
        <f>U5&amp;".1"</f>
        <v>#N/A</v>
      </c>
      <c r="J6" s="1188"/>
      <c r="K6" s="1188"/>
      <c r="L6" s="1188"/>
      <c r="M6" s="1231" t="s">
        <v>496</v>
      </c>
      <c r="N6" s="447"/>
      <c r="Q6" s="5473">
        <v>1</v>
      </c>
      <c r="R6" s="1252"/>
      <c r="S6" s="1252"/>
      <c r="T6" s="294"/>
      <c r="U6" s="967"/>
      <c r="V6" s="1304"/>
      <c r="W6" s="1305"/>
      <c r="X6" s="5500"/>
      <c r="Y6" s="5501"/>
      <c r="Z6" s="5501"/>
      <c r="AA6" s="5501"/>
      <c r="AB6" s="5501"/>
      <c r="AC6" s="5501"/>
      <c r="AD6" s="5501"/>
      <c r="AE6" s="5501"/>
      <c r="AF6" s="5502"/>
      <c r="AG6" s="5500"/>
      <c r="AH6" s="5501"/>
      <c r="AI6" s="5501"/>
      <c r="AJ6" s="5501"/>
      <c r="AK6" s="5501"/>
      <c r="AL6" s="5501"/>
      <c r="AM6" s="5501"/>
      <c r="AN6" s="5501"/>
      <c r="AO6" s="5501"/>
      <c r="AP6" s="5502"/>
      <c r="AQ6" s="1306"/>
      <c r="AS6" s="438"/>
      <c r="AT6" s="438" t="str">
        <f t="shared" si="0"/>
        <v/>
      </c>
      <c r="AU6" s="438"/>
      <c r="AV6" s="438"/>
      <c r="AW6" s="1076">
        <v>0</v>
      </c>
    </row>
    <row r="7" spans="1:49" ht="21" hidden="1" customHeight="1">
      <c r="A7" s="1188"/>
      <c r="B7" s="1188"/>
      <c r="C7" s="1188"/>
      <c r="D7" s="1188"/>
      <c r="E7" s="5496"/>
      <c r="F7" s="5496"/>
      <c r="G7" s="5496"/>
      <c r="H7" s="5496"/>
      <c r="I7" s="5309"/>
      <c r="J7" s="5328" t="e">
        <f>I6&amp;".1"</f>
        <v>#N/A</v>
      </c>
      <c r="K7" s="1188"/>
      <c r="L7" s="1188"/>
      <c r="M7" s="1231" t="s">
        <v>499</v>
      </c>
      <c r="N7" s="447"/>
      <c r="O7" s="265"/>
      <c r="Q7" s="5473"/>
      <c r="R7" s="5473">
        <v>1</v>
      </c>
      <c r="S7" s="456"/>
      <c r="T7" s="295"/>
      <c r="U7" s="1257" t="e">
        <f>$J7</f>
        <v>#N/A</v>
      </c>
      <c r="V7" s="224" t="s">
        <v>500</v>
      </c>
      <c r="W7" s="238"/>
      <c r="X7" s="5457"/>
      <c r="Y7" s="5458"/>
      <c r="Z7" s="5458"/>
      <c r="AA7" s="5458"/>
      <c r="AB7" s="5458"/>
      <c r="AC7" s="5453"/>
      <c r="AD7" s="5453"/>
      <c r="AE7" s="5453"/>
      <c r="AF7" s="5513"/>
      <c r="AG7" s="5457"/>
      <c r="AH7" s="5458"/>
      <c r="AI7" s="5458"/>
      <c r="AJ7" s="5458"/>
      <c r="AK7" s="5458"/>
      <c r="AL7" s="5458"/>
      <c r="AM7" s="5458"/>
      <c r="AN7" s="5458"/>
      <c r="AO7" s="5458"/>
      <c r="AP7" s="5459"/>
      <c r="AQ7" s="1179" t="s">
        <v>501</v>
      </c>
      <c r="AS7" s="438"/>
      <c r="AT7" s="438" t="str">
        <f t="shared" si="0"/>
        <v>Группа потребителей</v>
      </c>
      <c r="AU7" s="438"/>
      <c r="AV7" s="438"/>
      <c r="AW7" s="1076">
        <v>0</v>
      </c>
    </row>
    <row r="8" spans="1:49" ht="21" hidden="1" customHeight="1">
      <c r="A8" s="1188"/>
      <c r="B8" s="1188"/>
      <c r="C8" s="1188"/>
      <c r="D8" s="1188"/>
      <c r="E8" s="5496"/>
      <c r="F8" s="5496"/>
      <c r="G8" s="5496"/>
      <c r="H8" s="5496"/>
      <c r="I8" s="5309"/>
      <c r="J8" s="5309"/>
      <c r="K8" s="5328" t="e">
        <f>J7&amp;".1"</f>
        <v>#N/A</v>
      </c>
      <c r="L8" s="79"/>
      <c r="M8" s="1231" t="s">
        <v>502</v>
      </c>
      <c r="N8" s="447"/>
      <c r="O8" s="265"/>
      <c r="P8" s="265"/>
      <c r="Q8" s="5473"/>
      <c r="R8" s="5473"/>
      <c r="S8" s="5473">
        <v>1</v>
      </c>
      <c r="T8" s="295"/>
      <c r="U8" s="1257" t="e">
        <f>$K8</f>
        <v>#N/A</v>
      </c>
      <c r="V8" s="1268"/>
      <c r="W8" s="238"/>
      <c r="X8" s="689"/>
      <c r="Y8" s="689"/>
      <c r="Z8" s="689"/>
      <c r="AA8" s="689"/>
      <c r="AB8" s="1326"/>
      <c r="AC8" s="5474"/>
      <c r="AD8" s="5338" t="s">
        <v>66</v>
      </c>
      <c r="AE8" s="5474"/>
      <c r="AF8" s="5338" t="s">
        <v>66</v>
      </c>
      <c r="AG8" s="1328"/>
      <c r="AH8" s="689"/>
      <c r="AI8" s="689"/>
      <c r="AJ8" s="689"/>
      <c r="AK8" s="1178"/>
      <c r="AL8" s="5474"/>
      <c r="AM8" s="5338" t="s">
        <v>66</v>
      </c>
      <c r="AN8" s="5474"/>
      <c r="AO8" s="5338" t="s">
        <v>66</v>
      </c>
      <c r="AP8" s="263"/>
      <c r="AQ8" s="1228" t="s">
        <v>542</v>
      </c>
      <c r="AR8" s="449" t="e">
        <f ca="1">STRCHECKDATE(X10:AP10)</f>
        <v>#NAME?</v>
      </c>
      <c r="AS8" s="438"/>
      <c r="AT8" s="438" t="str">
        <f t="shared" si="0"/>
        <v/>
      </c>
      <c r="AU8" s="438"/>
      <c r="AV8" s="438"/>
      <c r="AW8" s="1076">
        <v>0</v>
      </c>
    </row>
    <row r="9" spans="1:49" ht="21" hidden="1" customHeight="1">
      <c r="A9" s="1188"/>
      <c r="B9" s="1188"/>
      <c r="C9" s="1188"/>
      <c r="D9" s="1188"/>
      <c r="E9" s="5496"/>
      <c r="F9" s="5496"/>
      <c r="G9" s="5496"/>
      <c r="H9" s="5496"/>
      <c r="I9" s="5309"/>
      <c r="J9" s="5309"/>
      <c r="K9" s="5309"/>
      <c r="L9" s="5328" t="e">
        <f>K8&amp;".1"</f>
        <v>#N/A</v>
      </c>
      <c r="M9" s="1231"/>
      <c r="N9" s="447"/>
      <c r="O9" s="265"/>
      <c r="P9" s="265"/>
      <c r="Q9" s="5473"/>
      <c r="R9" s="5473"/>
      <c r="S9" s="5473"/>
      <c r="T9" s="295"/>
      <c r="U9" s="1257" t="e">
        <f>$L9</f>
        <v>#N/A</v>
      </c>
      <c r="V9" s="1312"/>
      <c r="W9" s="238"/>
      <c r="X9" s="263"/>
      <c r="Y9" s="689"/>
      <c r="Z9" s="689"/>
      <c r="AA9" s="689"/>
      <c r="AB9" s="1326"/>
      <c r="AC9" s="5475"/>
      <c r="AD9" s="5338"/>
      <c r="AE9" s="5475"/>
      <c r="AF9" s="5338"/>
      <c r="AG9" s="1328"/>
      <c r="AH9" s="689"/>
      <c r="AI9" s="689"/>
      <c r="AJ9" s="689"/>
      <c r="AK9" s="1178"/>
      <c r="AL9" s="5475"/>
      <c r="AM9" s="5338"/>
      <c r="AN9" s="5475"/>
      <c r="AO9" s="5338"/>
      <c r="AP9" s="263"/>
      <c r="AQ9" s="5492" t="s">
        <v>543</v>
      </c>
      <c r="AS9" s="438"/>
      <c r="AT9" s="438"/>
      <c r="AU9" s="438"/>
      <c r="AV9" s="438"/>
      <c r="AW9" s="1076">
        <v>0</v>
      </c>
    </row>
    <row r="10" spans="1:49" ht="14.25" hidden="1" customHeight="1">
      <c r="A10" s="1188"/>
      <c r="B10" s="1188"/>
      <c r="C10" s="1188"/>
      <c r="D10" s="1188"/>
      <c r="E10" s="5496"/>
      <c r="F10" s="5496"/>
      <c r="G10" s="5496"/>
      <c r="H10" s="5496"/>
      <c r="I10" s="5309"/>
      <c r="J10" s="5309"/>
      <c r="K10" s="5309"/>
      <c r="L10" s="5328"/>
      <c r="M10" s="1231"/>
      <c r="N10" s="447"/>
      <c r="O10" s="265"/>
      <c r="P10" s="265"/>
      <c r="Q10" s="5473"/>
      <c r="R10" s="5473"/>
      <c r="S10" s="5473"/>
      <c r="T10" s="295"/>
      <c r="U10" s="1263"/>
      <c r="V10" s="238"/>
      <c r="W10" s="238"/>
      <c r="X10" s="263"/>
      <c r="Y10" s="263"/>
      <c r="Z10" s="263"/>
      <c r="AA10" s="263"/>
      <c r="AB10" s="1327" t="str">
        <f>AC8&amp;"-"&amp;AE8</f>
        <v>-</v>
      </c>
      <c r="AC10" s="5475"/>
      <c r="AD10" s="5338"/>
      <c r="AE10" s="5475"/>
      <c r="AF10" s="5338"/>
      <c r="AG10" s="1303"/>
      <c r="AH10" s="263"/>
      <c r="AI10" s="263"/>
      <c r="AJ10" s="263"/>
      <c r="AK10" s="266" t="str">
        <f>AL8&amp;"-"&amp;AN8</f>
        <v>-</v>
      </c>
      <c r="AL10" s="5475"/>
      <c r="AM10" s="5338"/>
      <c r="AN10" s="5475"/>
      <c r="AO10" s="5338"/>
      <c r="AP10" s="263"/>
      <c r="AQ10" s="5493"/>
      <c r="AS10" s="438"/>
      <c r="AT10" s="438" t="str">
        <f>IF(V10="","",V10)</f>
        <v/>
      </c>
      <c r="AU10" s="438"/>
      <c r="AV10" s="438"/>
      <c r="AW10" s="1076">
        <v>0</v>
      </c>
    </row>
    <row r="11" spans="1:49" ht="11.25" hidden="1" customHeight="1">
      <c r="A11" s="1188"/>
      <c r="B11" s="1188"/>
      <c r="C11" s="1188"/>
      <c r="D11" s="1188"/>
      <c r="E11" s="5496"/>
      <c r="F11" s="5496"/>
      <c r="G11" s="5496"/>
      <c r="H11" s="5496"/>
      <c r="I11" s="5309"/>
      <c r="J11" s="5309"/>
      <c r="K11" s="5328"/>
      <c r="L11" s="1188"/>
      <c r="M11" s="1231"/>
      <c r="N11" s="447"/>
      <c r="O11" s="265"/>
      <c r="P11" s="265"/>
      <c r="Q11" s="5473"/>
      <c r="R11" s="5473"/>
      <c r="S11" s="5473"/>
      <c r="T11" s="295"/>
      <c r="U11" s="1199"/>
      <c r="V11" s="226" t="s">
        <v>544</v>
      </c>
      <c r="W11" s="1313"/>
      <c r="X11" s="1314"/>
      <c r="Y11" s="1314"/>
      <c r="Z11" s="1314"/>
      <c r="AA11" s="1314"/>
      <c r="AB11" s="1315"/>
      <c r="AC11" s="5475"/>
      <c r="AD11" s="5338"/>
      <c r="AE11" s="5475"/>
      <c r="AF11" s="5338"/>
      <c r="AG11" s="1314"/>
      <c r="AH11" s="1314"/>
      <c r="AI11" s="1314"/>
      <c r="AJ11" s="1314"/>
      <c r="AK11" s="1315"/>
      <c r="AL11" s="5475"/>
      <c r="AM11" s="5338"/>
      <c r="AN11" s="5475"/>
      <c r="AO11" s="5338"/>
      <c r="AP11" s="1316"/>
      <c r="AQ11" s="5493"/>
      <c r="AS11" s="438"/>
      <c r="AT11" s="438"/>
      <c r="AU11" s="438"/>
      <c r="AV11" s="438"/>
      <c r="AW11" s="1076">
        <v>0</v>
      </c>
    </row>
    <row r="12" spans="1:49" ht="15" hidden="1" customHeight="1">
      <c r="A12" s="1188"/>
      <c r="B12" s="1188"/>
      <c r="C12" s="1188"/>
      <c r="D12" s="1188"/>
      <c r="E12" s="5496"/>
      <c r="F12" s="5496"/>
      <c r="G12" s="5496"/>
      <c r="H12" s="5496"/>
      <c r="I12" s="5309"/>
      <c r="J12" s="5328"/>
      <c r="K12" s="1188"/>
      <c r="L12" s="1188"/>
      <c r="M12" s="1231"/>
      <c r="N12" s="447"/>
      <c r="O12" s="265"/>
      <c r="Q12" s="5473"/>
      <c r="R12" s="5473"/>
      <c r="S12" s="1252"/>
      <c r="T12" s="294"/>
      <c r="U12" s="1199"/>
      <c r="V12" s="225" t="s">
        <v>504</v>
      </c>
      <c r="W12" s="305"/>
      <c r="X12" s="305"/>
      <c r="Y12" s="305"/>
      <c r="Z12" s="305"/>
      <c r="AA12" s="305"/>
      <c r="AB12" s="305"/>
      <c r="AC12" s="1329"/>
      <c r="AD12" s="1329"/>
      <c r="AE12" s="1329"/>
      <c r="AF12" s="1329"/>
      <c r="AG12" s="305"/>
      <c r="AH12" s="305"/>
      <c r="AI12" s="305"/>
      <c r="AJ12" s="305"/>
      <c r="AK12" s="305"/>
      <c r="AL12" s="305"/>
      <c r="AM12" s="305"/>
      <c r="AN12" s="305"/>
      <c r="AO12" s="305"/>
      <c r="AP12" s="262"/>
      <c r="AQ12" s="5494"/>
      <c r="AS12" s="438"/>
      <c r="AT12" s="438" t="str">
        <f t="shared" ref="AT12:AT17" si="1">IF(V12="","",V12)</f>
        <v>Добавить вид теплоносителя (параметры теплоносителя)</v>
      </c>
      <c r="AU12" s="438"/>
      <c r="AV12" s="438"/>
      <c r="AW12" s="1076">
        <v>0</v>
      </c>
    </row>
    <row r="13" spans="1:49" ht="11.25" hidden="1" customHeight="1">
      <c r="A13" s="1188"/>
      <c r="B13" s="1188"/>
      <c r="C13" s="1188"/>
      <c r="D13" s="1188"/>
      <c r="E13" s="5496"/>
      <c r="F13" s="5496"/>
      <c r="G13" s="5496"/>
      <c r="H13" s="5496"/>
      <c r="I13" s="5328"/>
      <c r="J13" s="1188"/>
      <c r="K13" s="1188"/>
      <c r="L13" s="1188"/>
      <c r="M13" s="1231"/>
      <c r="N13" s="447"/>
      <c r="Q13" s="5473"/>
      <c r="R13" s="1252"/>
      <c r="S13" s="1252"/>
      <c r="T13" s="294"/>
      <c r="U13" s="1199"/>
      <c r="V13" s="303" t="s">
        <v>505</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76">
        <v>0</v>
      </c>
    </row>
    <row r="14" spans="1:49" ht="14.25" hidden="1" customHeight="1">
      <c r="A14" s="1188"/>
      <c r="B14" s="1188"/>
      <c r="C14" s="1188"/>
      <c r="D14" s="1188"/>
      <c r="E14" s="5496"/>
      <c r="F14" s="5496"/>
      <c r="G14" s="5496"/>
      <c r="H14" s="5495"/>
      <c r="I14" s="1188"/>
      <c r="J14" s="1188"/>
      <c r="K14" s="1188"/>
      <c r="L14" s="1188"/>
      <c r="M14" s="1231"/>
      <c r="N14" s="626"/>
      <c r="O14" s="626"/>
      <c r="P14" s="447"/>
      <c r="Q14" s="298"/>
      <c r="R14" s="313"/>
      <c r="S14" s="293"/>
      <c r="T14" s="298"/>
      <c r="U14" s="1307"/>
      <c r="V14" s="1308"/>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10"/>
      <c r="AS14" s="438"/>
      <c r="AT14" s="438" t="str">
        <f t="shared" si="1"/>
        <v/>
      </c>
      <c r="AU14" s="438"/>
      <c r="AV14" s="438"/>
      <c r="AW14" s="1076">
        <v>0</v>
      </c>
    </row>
    <row r="15" spans="1:49" s="4275" customFormat="1" ht="14.25" hidden="1" customHeight="1">
      <c r="A15" s="1295"/>
      <c r="B15" s="1295"/>
      <c r="C15" s="1295"/>
      <c r="D15" s="1295"/>
      <c r="E15" s="5496"/>
      <c r="F15" s="5496"/>
      <c r="G15" s="5495"/>
      <c r="H15" s="1295"/>
      <c r="I15" s="1295"/>
      <c r="J15" s="1295"/>
      <c r="K15" s="1295"/>
      <c r="L15" s="1295"/>
      <c r="M15" s="1298"/>
      <c r="N15" s="1299"/>
      <c r="O15" s="1299"/>
      <c r="P15" s="289"/>
      <c r="Q15" s="1237"/>
      <c r="R15" s="1238"/>
      <c r="S15" s="1237"/>
      <c r="T15" s="1237"/>
      <c r="U15" s="1239"/>
      <c r="V15" s="1240" t="s">
        <v>507</v>
      </c>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S15" s="721"/>
      <c r="AT15" s="721" t="str">
        <f t="shared" si="1"/>
        <v>Добавить источник для дифференциации</v>
      </c>
      <c r="AU15" s="721"/>
      <c r="AV15" s="721"/>
      <c r="AW15" s="456">
        <v>0</v>
      </c>
    </row>
    <row r="16" spans="1:49" s="4275" customFormat="1" ht="14.25" hidden="1" customHeight="1">
      <c r="A16" s="1295"/>
      <c r="B16" s="1295"/>
      <c r="C16" s="1295"/>
      <c r="D16" s="1295"/>
      <c r="E16" s="5496"/>
      <c r="F16" s="5495"/>
      <c r="G16" s="1295"/>
      <c r="H16" s="1295"/>
      <c r="I16" s="1295"/>
      <c r="J16" s="1295"/>
      <c r="K16" s="1295"/>
      <c r="L16" s="1295"/>
      <c r="M16" s="1298"/>
      <c r="N16" s="1300"/>
      <c r="O16" s="1300"/>
      <c r="P16" s="289"/>
      <c r="Q16" s="1237"/>
      <c r="R16" s="1238"/>
      <c r="S16" s="1237"/>
      <c r="T16" s="1237"/>
      <c r="U16" s="1243"/>
      <c r="V16" s="1244" t="s">
        <v>312</v>
      </c>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S16" s="721"/>
      <c r="AT16" s="721" t="str">
        <f t="shared" si="1"/>
        <v>Добавить централизованную систему для дифференциации</v>
      </c>
      <c r="AU16" s="721"/>
      <c r="AV16" s="721"/>
      <c r="AW16" s="456">
        <v>0</v>
      </c>
    </row>
    <row r="17" spans="1:49" s="4275" customFormat="1" ht="14.25" hidden="1" customHeight="1">
      <c r="A17" s="1295"/>
      <c r="B17" s="1295"/>
      <c r="C17" s="1295"/>
      <c r="D17" s="1295"/>
      <c r="E17" s="5495"/>
      <c r="F17" s="1295"/>
      <c r="G17" s="1295"/>
      <c r="H17" s="1295"/>
      <c r="I17" s="1295"/>
      <c r="J17" s="1295"/>
      <c r="K17" s="1295"/>
      <c r="L17" s="1295"/>
      <c r="M17" s="1298"/>
      <c r="N17" s="1300"/>
      <c r="O17" s="1300"/>
      <c r="P17" s="289"/>
      <c r="Q17" s="1237"/>
      <c r="R17" s="1238"/>
      <c r="S17" s="1237"/>
      <c r="T17" s="1237"/>
      <c r="U17" s="1243"/>
      <c r="V17" s="1246" t="s">
        <v>360</v>
      </c>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S17" s="721"/>
      <c r="AT17" s="721" t="str">
        <f t="shared" si="1"/>
        <v>Добавить территорию для дифференциации</v>
      </c>
      <c r="AU17" s="721"/>
      <c r="AV17" s="721"/>
      <c r="AW17" s="456">
        <v>0</v>
      </c>
    </row>
    <row r="18" spans="1:49" ht="14.25" hidden="1" customHeight="1">
      <c r="AF18" s="265"/>
      <c r="AO18" s="265"/>
      <c r="AW18" s="1076">
        <v>0</v>
      </c>
    </row>
    <row r="19" spans="1:49" ht="14.25" hidden="1" customHeight="1">
      <c r="AG19" s="1281"/>
      <c r="AH19" s="1281"/>
      <c r="AI19" s="1281"/>
      <c r="AJ19" s="1281"/>
      <c r="AK19" s="1282"/>
      <c r="AL19" s="5467"/>
      <c r="AM19" s="5466" t="s">
        <v>66</v>
      </c>
      <c r="AN19" s="5467"/>
      <c r="AO19" s="5466" t="s">
        <v>66</v>
      </c>
      <c r="AW19" s="1076">
        <v>0</v>
      </c>
    </row>
    <row r="20" spans="1:49" ht="14.25" hidden="1" customHeight="1">
      <c r="AG20" s="1281"/>
      <c r="AH20" s="1281"/>
      <c r="AI20" s="1281"/>
      <c r="AJ20" s="1281"/>
      <c r="AK20" s="1282"/>
      <c r="AL20" s="5467"/>
      <c r="AM20" s="5466"/>
      <c r="AN20" s="5467"/>
      <c r="AO20" s="5466"/>
      <c r="AW20" s="1076">
        <v>0</v>
      </c>
    </row>
    <row r="21" spans="1:49" ht="14.25" hidden="1" customHeight="1">
      <c r="AG21" s="1281"/>
      <c r="AH21" s="1281"/>
      <c r="AI21" s="1281"/>
      <c r="AJ21" s="1281"/>
      <c r="AK21" s="1282"/>
      <c r="AL21" s="5467"/>
      <c r="AM21" s="5466"/>
      <c r="AN21" s="5467"/>
      <c r="AO21" s="5466"/>
      <c r="AW21" s="1076">
        <v>0</v>
      </c>
    </row>
    <row r="22" spans="1:49" ht="14.25" hidden="1" customHeight="1">
      <c r="AG22" s="1281"/>
      <c r="AH22" s="1281"/>
      <c r="AI22" s="1281"/>
      <c r="AJ22" s="1281"/>
      <c r="AK22" s="266" t="str">
        <f>AL19&amp;"-"&amp;AN19</f>
        <v>-</v>
      </c>
      <c r="AL22" s="5466"/>
      <c r="AM22" s="5466"/>
      <c r="AN22" s="5466"/>
      <c r="AO22" s="5466"/>
      <c r="AW22" s="1076">
        <v>0</v>
      </c>
    </row>
    <row r="23" spans="1:49" ht="14.25" hidden="1" customHeight="1">
      <c r="AO23" s="265"/>
      <c r="AW23" s="1076">
        <v>0</v>
      </c>
    </row>
    <row r="24" spans="1:49" s="4274" customFormat="1" ht="22.5" hidden="1" customHeight="1">
      <c r="A24" s="1076"/>
      <c r="B24" s="1076"/>
      <c r="C24" s="1076"/>
      <c r="D24" s="1076"/>
      <c r="E24" s="1076"/>
      <c r="F24" s="1076"/>
      <c r="G24" s="1076"/>
      <c r="H24" s="1076"/>
      <c r="I24" s="1076"/>
      <c r="J24" s="1076"/>
      <c r="K24" s="1076"/>
      <c r="L24" s="1076"/>
      <c r="M24" s="1248"/>
      <c r="N24" s="1249"/>
      <c r="O24" s="1249"/>
      <c r="P24" s="1266" t="s">
        <v>508</v>
      </c>
      <c r="Q24" s="1283"/>
      <c r="R24" s="1292"/>
      <c r="S24" s="1292"/>
      <c r="T24" s="1292"/>
      <c r="U24" s="667"/>
      <c r="AC24" s="1288"/>
      <c r="AE24" s="1288"/>
      <c r="AF24" s="1287"/>
      <c r="AL24" s="1288"/>
      <c r="AN24" s="1288"/>
      <c r="AO24" s="1287"/>
      <c r="AR24" s="449"/>
      <c r="AS24" s="449"/>
      <c r="AT24" s="449"/>
      <c r="AU24" s="449"/>
      <c r="AV24" s="449"/>
      <c r="AW24" s="1081">
        <v>0</v>
      </c>
    </row>
    <row r="25" spans="1:49" s="4274" customFormat="1" ht="14.25" hidden="1" customHeight="1">
      <c r="A25" s="1076"/>
      <c r="B25" s="1076"/>
      <c r="C25" s="1076"/>
      <c r="D25" s="1076"/>
      <c r="E25" s="1076"/>
      <c r="F25" s="1076"/>
      <c r="G25" s="1076"/>
      <c r="H25" s="1076"/>
      <c r="I25" s="1076"/>
      <c r="J25" s="1076"/>
      <c r="K25" s="1076"/>
      <c r="L25" s="1076"/>
      <c r="M25" s="1248"/>
      <c r="N25" s="1249"/>
      <c r="O25" s="1249"/>
      <c r="P25" s="1249"/>
      <c r="Q25" s="1283"/>
      <c r="R25" s="1292"/>
      <c r="S25" s="1292"/>
      <c r="T25" s="1292"/>
      <c r="U25" s="667"/>
      <c r="AF25" s="1287"/>
      <c r="AO25" s="1287"/>
      <c r="AR25" s="449"/>
      <c r="AS25" s="449"/>
      <c r="AT25" s="449"/>
      <c r="AU25" s="449"/>
      <c r="AV25" s="449"/>
      <c r="AW25" s="1081">
        <v>0</v>
      </c>
    </row>
    <row r="26" spans="1:49" s="4274" customFormat="1" ht="14.25" hidden="1" customHeight="1">
      <c r="A26" s="1076"/>
      <c r="B26" s="1076"/>
      <c r="C26" s="1076"/>
      <c r="D26" s="1076"/>
      <c r="E26" s="1076"/>
      <c r="F26" s="1076"/>
      <c r="G26" s="1076"/>
      <c r="H26" s="1076"/>
      <c r="I26" s="1076"/>
      <c r="J26" s="1076"/>
      <c r="K26" s="1076"/>
      <c r="L26" s="1076"/>
      <c r="M26" s="1248"/>
      <c r="N26" s="1249"/>
      <c r="O26" s="1249"/>
      <c r="P26" s="1231" t="s">
        <v>509</v>
      </c>
      <c r="Q26" s="1283"/>
      <c r="R26" s="1292"/>
      <c r="S26" s="1292"/>
      <c r="T26" s="1292"/>
      <c r="U26" s="667"/>
      <c r="V26" s="1081" t="s">
        <v>510</v>
      </c>
      <c r="AD26" s="124" t="s">
        <v>511</v>
      </c>
      <c r="AF26" s="124" t="s">
        <v>512</v>
      </c>
      <c r="AG26" s="1081" t="s">
        <v>510</v>
      </c>
      <c r="AM26" s="124" t="s">
        <v>513</v>
      </c>
      <c r="AO26" s="124" t="s">
        <v>512</v>
      </c>
      <c r="AR26" s="449"/>
      <c r="AS26" s="449"/>
      <c r="AT26" s="449"/>
      <c r="AU26" s="449"/>
      <c r="AV26" s="449"/>
      <c r="AW26" s="1081">
        <v>0</v>
      </c>
    </row>
    <row r="27" spans="1:49" ht="14.25" hidden="1" customHeight="1">
      <c r="P27" s="1231"/>
      <c r="AW27" s="1076">
        <v>0</v>
      </c>
    </row>
    <row r="28" spans="1:49" ht="14.25" hidden="1" customHeight="1">
      <c r="P28" s="1231"/>
      <c r="AW28" s="1076">
        <v>0</v>
      </c>
    </row>
    <row r="29" spans="1:49" ht="14.65" customHeight="1">
      <c r="R29" s="314"/>
      <c r="S29" s="314"/>
      <c r="T29" s="314"/>
      <c r="U29" s="1196"/>
      <c r="V29" s="301"/>
      <c r="W29" s="301"/>
      <c r="X29" s="447"/>
      <c r="Y29" s="447"/>
      <c r="Z29" s="447"/>
      <c r="AA29" s="447"/>
      <c r="AB29" s="447"/>
      <c r="AC29" s="447"/>
      <c r="AD29" s="447"/>
      <c r="AE29" s="447"/>
      <c r="AF29" s="447"/>
      <c r="AG29" s="447"/>
      <c r="AH29" s="447"/>
      <c r="AI29" s="447"/>
      <c r="AJ29" s="447"/>
      <c r="AK29" s="447"/>
      <c r="AL29" s="447"/>
      <c r="AM29" s="447"/>
      <c r="AN29" s="447"/>
      <c r="AO29" s="447"/>
      <c r="AW29" s="1076">
        <v>14</v>
      </c>
    </row>
    <row r="30" spans="1:49" ht="56.65" customHeight="1">
      <c r="R30" s="314"/>
      <c r="S30" s="314"/>
      <c r="T30" s="314"/>
      <c r="U30" s="545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450"/>
      <c r="W30" s="5450"/>
      <c r="X30" s="5450"/>
      <c r="Y30" s="5450"/>
      <c r="Z30" s="5450"/>
      <c r="AA30" s="5450"/>
      <c r="AB30" s="5450"/>
      <c r="AC30" s="5450"/>
      <c r="AD30" s="5450"/>
      <c r="AE30" s="5450"/>
      <c r="AF30" s="5450"/>
      <c r="AG30" s="5450"/>
      <c r="AH30" s="5450"/>
      <c r="AI30" s="5450"/>
      <c r="AJ30" s="5450"/>
      <c r="AK30" s="5450"/>
      <c r="AL30" s="5450"/>
      <c r="AM30" s="5450"/>
      <c r="AN30" s="5450"/>
      <c r="AO30" s="1164"/>
      <c r="AW30" s="1076">
        <v>54</v>
      </c>
    </row>
    <row r="31" spans="1:49" ht="14.65" customHeight="1">
      <c r="R31" s="314"/>
      <c r="S31" s="314"/>
      <c r="T31" s="314"/>
      <c r="U31" s="5423" t="str">
        <f>IF(org=0,"Не определено",org)</f>
        <v>КГУП "Примтеплоэнерго"</v>
      </c>
      <c r="V31" s="5423"/>
      <c r="W31" s="5423"/>
      <c r="X31" s="5423"/>
      <c r="Y31" s="5423"/>
      <c r="Z31" s="5423"/>
      <c r="AA31" s="5423"/>
      <c r="AB31" s="5423"/>
      <c r="AC31" s="5423"/>
      <c r="AD31" s="5423"/>
      <c r="AE31" s="5423"/>
      <c r="AF31" s="5423"/>
      <c r="AG31" s="5423"/>
      <c r="AH31" s="5423"/>
      <c r="AI31" s="5423"/>
      <c r="AJ31" s="5423"/>
      <c r="AK31" s="5423"/>
      <c r="AL31" s="5423"/>
      <c r="AM31" s="5423"/>
      <c r="AN31" s="5423"/>
      <c r="AO31" s="1164"/>
      <c r="AW31" s="1076">
        <v>14</v>
      </c>
    </row>
    <row r="32" spans="1:49" ht="14.25" hidden="1" customHeight="1">
      <c r="R32" s="314"/>
      <c r="S32" s="314"/>
      <c r="T32" s="314"/>
      <c r="U32" s="1196"/>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76">
        <v>0</v>
      </c>
    </row>
    <row r="33" spans="1:49" s="4284" customFormat="1" ht="25.5" hidden="1" customHeight="1">
      <c r="A33" s="1169"/>
      <c r="B33" s="1169"/>
      <c r="C33" s="1169"/>
      <c r="D33" s="1169"/>
      <c r="E33" s="1169"/>
      <c r="F33" s="1169"/>
      <c r="G33" s="1169"/>
      <c r="H33" s="1169"/>
      <c r="I33" s="1169"/>
      <c r="J33" s="1169"/>
      <c r="K33" s="1169"/>
      <c r="L33" s="1169"/>
      <c r="M33" s="1301"/>
      <c r="N33" s="1169"/>
      <c r="O33" s="1169"/>
      <c r="P33" s="1169"/>
      <c r="U33" s="5460" t="s">
        <v>42</v>
      </c>
      <c r="V33" s="5460"/>
      <c r="W33" s="1293"/>
      <c r="X33" s="5462" t="str">
        <f>IF(TITLE_NAME_OR_PR_CHANGE="",IF(TITLE_NAME_OR_PR="","",TITLE_NAME_OR_PR),TITLE_NAME_OR_PR_CHANGE)</f>
        <v/>
      </c>
      <c r="Y33" s="5462"/>
      <c r="Z33" s="5462"/>
      <c r="AA33" s="5462"/>
      <c r="AB33" s="5462"/>
      <c r="AC33" s="5462"/>
      <c r="AD33" s="5462"/>
      <c r="AE33" s="5462"/>
      <c r="AF33" s="264"/>
      <c r="AG33" s="5462" t="str">
        <f>IF(TITLE_NAME_OR_PR_CHANGE="",IF(TITLE_NAME_OR_PR="","",TITLE_NAME_OR_PR),TITLE_NAME_OR_PR_CHANGE)</f>
        <v/>
      </c>
      <c r="AH33" s="5462"/>
      <c r="AI33" s="5462"/>
      <c r="AJ33" s="5462"/>
      <c r="AK33" s="5462"/>
      <c r="AL33" s="5462"/>
      <c r="AM33" s="5462"/>
      <c r="AN33" s="5462"/>
      <c r="AO33" s="264"/>
      <c r="AP33" s="264"/>
      <c r="AQ33" s="218"/>
      <c r="AR33" s="306"/>
      <c r="AS33" s="306"/>
      <c r="AT33" s="306"/>
      <c r="AU33" s="306"/>
      <c r="AV33" s="306"/>
      <c r="AW33" s="356">
        <v>0</v>
      </c>
    </row>
    <row r="34" spans="1:49" s="4284" customFormat="1" ht="18.75" hidden="1" customHeight="1">
      <c r="A34" s="1169"/>
      <c r="B34" s="1169"/>
      <c r="C34" s="1169"/>
      <c r="D34" s="1169"/>
      <c r="E34" s="1169"/>
      <c r="F34" s="1169"/>
      <c r="G34" s="1169"/>
      <c r="H34" s="1169"/>
      <c r="I34" s="1169"/>
      <c r="J34" s="1169"/>
      <c r="K34" s="1169"/>
      <c r="L34" s="1169"/>
      <c r="M34" s="1301"/>
      <c r="N34" s="1169"/>
      <c r="O34" s="1169"/>
      <c r="P34" s="1169"/>
      <c r="U34" s="5460" t="s">
        <v>514</v>
      </c>
      <c r="V34" s="5460"/>
      <c r="W34" s="1293"/>
      <c r="X34" s="5461">
        <f>IF(TITLE_DATE_PR_CHANGE="",IF(TITLE_DATE_PR="","",TITLE_DATE_PR),TITLE_DATE_PR_CHANGE)</f>
        <v>45649.605891203704</v>
      </c>
      <c r="Y34" s="5461"/>
      <c r="Z34" s="5461"/>
      <c r="AA34" s="5461"/>
      <c r="AB34" s="5461"/>
      <c r="AC34" s="5461"/>
      <c r="AD34" s="5461"/>
      <c r="AE34" s="5461"/>
      <c r="AF34" s="264"/>
      <c r="AG34" s="5461">
        <f>IF(TITLE_DATE_PR_CHANGE="",IF(TITLE_DATE_PR="","",TITLE_DATE_PR),TITLE_DATE_PR_CHANGE)</f>
        <v>45649.605891203704</v>
      </c>
      <c r="AH34" s="5461"/>
      <c r="AI34" s="5461"/>
      <c r="AJ34" s="5461"/>
      <c r="AK34" s="5461"/>
      <c r="AL34" s="5461"/>
      <c r="AM34" s="5461"/>
      <c r="AN34" s="5461"/>
      <c r="AO34" s="264"/>
      <c r="AP34" s="264"/>
      <c r="AQ34" s="218"/>
      <c r="AR34" s="306"/>
      <c r="AS34" s="306"/>
      <c r="AT34" s="306"/>
      <c r="AU34" s="306"/>
      <c r="AV34" s="306"/>
      <c r="AW34" s="356">
        <v>0</v>
      </c>
    </row>
    <row r="35" spans="1:49" s="4284" customFormat="1" ht="18.75" hidden="1" customHeight="1">
      <c r="A35" s="1169"/>
      <c r="B35" s="1169"/>
      <c r="C35" s="1169"/>
      <c r="D35" s="1169"/>
      <c r="E35" s="1169"/>
      <c r="F35" s="1169"/>
      <c r="G35" s="1169"/>
      <c r="H35" s="1169"/>
      <c r="I35" s="1169"/>
      <c r="J35" s="1169"/>
      <c r="K35" s="1169"/>
      <c r="L35" s="1169"/>
      <c r="M35" s="1301"/>
      <c r="N35" s="1169"/>
      <c r="O35" s="1169"/>
      <c r="P35" s="1169"/>
      <c r="U35" s="5460" t="s">
        <v>515</v>
      </c>
      <c r="V35" s="5460"/>
      <c r="W35" s="1293"/>
      <c r="X35" s="5462" t="str">
        <f>IF(TITLE_NUMBER_PR_CHANGE="",IF(TITLE_NUMBER_PR="","",TITLE_NUMBER_PR),TITLE_NUMBER_PR_CHANGE)</f>
        <v>27-6414</v>
      </c>
      <c r="Y35" s="5462"/>
      <c r="Z35" s="5462"/>
      <c r="AA35" s="5462"/>
      <c r="AB35" s="5462"/>
      <c r="AC35" s="5462"/>
      <c r="AD35" s="5462"/>
      <c r="AE35" s="5462"/>
      <c r="AF35" s="264"/>
      <c r="AG35" s="5462" t="str">
        <f>IF(TITLE_NUMBER_PR_CHANGE="",IF(TITLE_NUMBER_PR="","",TITLE_NUMBER_PR),TITLE_NUMBER_PR_CHANGE)</f>
        <v>27-6414</v>
      </c>
      <c r="AH35" s="5462"/>
      <c r="AI35" s="5462"/>
      <c r="AJ35" s="5462"/>
      <c r="AK35" s="5462"/>
      <c r="AL35" s="5462"/>
      <c r="AM35" s="5462"/>
      <c r="AN35" s="5462"/>
      <c r="AO35" s="264"/>
      <c r="AP35" s="264"/>
      <c r="AQ35" s="218"/>
      <c r="AR35" s="306"/>
      <c r="AS35" s="306"/>
      <c r="AT35" s="306"/>
      <c r="AU35" s="306"/>
      <c r="AV35" s="306"/>
      <c r="AW35" s="356">
        <v>0</v>
      </c>
    </row>
    <row r="36" spans="1:49" s="4284" customFormat="1" ht="18.75" hidden="1" customHeight="1">
      <c r="A36" s="1169"/>
      <c r="B36" s="1169"/>
      <c r="C36" s="1169"/>
      <c r="D36" s="1169"/>
      <c r="E36" s="1169"/>
      <c r="F36" s="1169"/>
      <c r="G36" s="1169"/>
      <c r="H36" s="1169"/>
      <c r="I36" s="1169"/>
      <c r="J36" s="1169"/>
      <c r="K36" s="1169"/>
      <c r="L36" s="1169"/>
      <c r="M36" s="1301"/>
      <c r="N36" s="1169"/>
      <c r="O36" s="1169"/>
      <c r="P36" s="1169"/>
      <c r="U36" s="5460" t="s">
        <v>43</v>
      </c>
      <c r="V36" s="5460"/>
      <c r="W36" s="1293"/>
      <c r="X36" s="5462" t="str">
        <f>IF(TITLE_IST_PUB_CHANGE="",IF(TITLE_IST_PUB="","",TITLE_IST_PUB),TITLE_IST_PUB_CHANGE)</f>
        <v/>
      </c>
      <c r="Y36" s="5462"/>
      <c r="Z36" s="5462"/>
      <c r="AA36" s="5462"/>
      <c r="AB36" s="5462"/>
      <c r="AC36" s="5462"/>
      <c r="AD36" s="5462"/>
      <c r="AE36" s="5462"/>
      <c r="AF36" s="264"/>
      <c r="AG36" s="5462" t="str">
        <f>IF(TITLE_IST_PUB_CHANGE="",IF(TITLE_IST_PUB="","",TITLE_IST_PUB),TITLE_IST_PUB_CHANGE)</f>
        <v/>
      </c>
      <c r="AH36" s="5462"/>
      <c r="AI36" s="5462"/>
      <c r="AJ36" s="5462"/>
      <c r="AK36" s="5462"/>
      <c r="AL36" s="5462"/>
      <c r="AM36" s="5462"/>
      <c r="AN36" s="5462"/>
      <c r="AO36" s="264"/>
      <c r="AP36" s="264"/>
      <c r="AQ36" s="218"/>
      <c r="AR36" s="306"/>
      <c r="AS36" s="306"/>
      <c r="AT36" s="306"/>
      <c r="AU36" s="306"/>
      <c r="AV36" s="306"/>
      <c r="AW36" s="356">
        <v>0</v>
      </c>
    </row>
    <row r="37" spans="1:49" ht="14.25" customHeight="1">
      <c r="R37" s="314"/>
      <c r="S37" s="314"/>
      <c r="T37" s="314"/>
      <c r="U37" s="1196"/>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76">
        <v>0</v>
      </c>
    </row>
    <row r="38" spans="1:49" s="4284" customFormat="1" ht="18.75" customHeight="1">
      <c r="A38" s="1169"/>
      <c r="B38" s="1169"/>
      <c r="C38" s="1169"/>
      <c r="D38" s="1169"/>
      <c r="E38" s="1169"/>
      <c r="F38" s="1169"/>
      <c r="G38" s="1169"/>
      <c r="H38" s="1169"/>
      <c r="I38" s="1169"/>
      <c r="J38" s="1169"/>
      <c r="K38" s="1169"/>
      <c r="L38" s="1169"/>
      <c r="M38" s="1301"/>
      <c r="N38" s="1169"/>
      <c r="O38" s="1169"/>
      <c r="P38" s="1169"/>
      <c r="U38" s="5460" t="s">
        <v>516</v>
      </c>
      <c r="V38" s="5460"/>
      <c r="W38" s="1293"/>
      <c r="X38" s="5461">
        <f>IF(TITLE_DATE_PR_CHANGE="",IF(TITLE_DATE_PR="","",TITLE_DATE_PR),TITLE_DATE_PR_CHANGE)</f>
        <v>45649.605891203704</v>
      </c>
      <c r="Y38" s="5461"/>
      <c r="Z38" s="5461"/>
      <c r="AA38" s="5461"/>
      <c r="AB38" s="5461"/>
      <c r="AC38" s="5461"/>
      <c r="AD38" s="5461"/>
      <c r="AE38" s="5461"/>
      <c r="AF38" s="264"/>
      <c r="AG38" s="5461">
        <f>IF(TITLE_DATE_PR_CHANGE="",IF(TITLE_DATE_PR="","",TITLE_DATE_PR),TITLE_DATE_PR_CHANGE)</f>
        <v>45649.605891203704</v>
      </c>
      <c r="AH38" s="5461"/>
      <c r="AI38" s="5461"/>
      <c r="AJ38" s="5461"/>
      <c r="AK38" s="5461"/>
      <c r="AL38" s="5461"/>
      <c r="AM38" s="5461"/>
      <c r="AN38" s="5461"/>
      <c r="AO38" s="264"/>
      <c r="AP38" s="264"/>
      <c r="AQ38" s="218"/>
      <c r="AR38" s="306"/>
      <c r="AS38" s="306"/>
      <c r="AT38" s="306"/>
      <c r="AU38" s="306"/>
      <c r="AV38" s="306"/>
      <c r="AW38" s="356">
        <v>0</v>
      </c>
    </row>
    <row r="39" spans="1:49" s="4284" customFormat="1" ht="18.75" customHeight="1">
      <c r="A39" s="1169"/>
      <c r="B39" s="1169"/>
      <c r="C39" s="1169"/>
      <c r="D39" s="1169"/>
      <c r="E39" s="1169"/>
      <c r="F39" s="1169"/>
      <c r="G39" s="1169"/>
      <c r="H39" s="1169"/>
      <c r="I39" s="1169"/>
      <c r="J39" s="1169"/>
      <c r="K39" s="1169"/>
      <c r="L39" s="1169"/>
      <c r="M39" s="1301"/>
      <c r="N39" s="1169"/>
      <c r="O39" s="1169"/>
      <c r="P39" s="1169"/>
      <c r="U39" s="5460" t="s">
        <v>517</v>
      </c>
      <c r="V39" s="5460"/>
      <c r="W39" s="1293"/>
      <c r="X39" s="5462" t="str">
        <f>IF(TITLE_NUMBER_PR_CHANGE="",IF(TITLE_NUMBER_PR="","",TITLE_NUMBER_PR),TITLE_NUMBER_PR_CHANGE)</f>
        <v>27-6414</v>
      </c>
      <c r="Y39" s="5462"/>
      <c r="Z39" s="5462"/>
      <c r="AA39" s="5462"/>
      <c r="AB39" s="5462"/>
      <c r="AC39" s="5462"/>
      <c r="AD39" s="5462"/>
      <c r="AE39" s="5462"/>
      <c r="AF39" s="264"/>
      <c r="AG39" s="5462" t="str">
        <f>IF(TITLE_NUMBER_PR_CHANGE="",IF(TITLE_NUMBER_PR="","",TITLE_NUMBER_PR),TITLE_NUMBER_PR_CHANGE)</f>
        <v>27-6414</v>
      </c>
      <c r="AH39" s="5462"/>
      <c r="AI39" s="5462"/>
      <c r="AJ39" s="5462"/>
      <c r="AK39" s="5462"/>
      <c r="AL39" s="5462"/>
      <c r="AM39" s="5462"/>
      <c r="AN39" s="5462"/>
      <c r="AO39" s="264"/>
      <c r="AP39" s="264"/>
      <c r="AQ39" s="218"/>
      <c r="AR39" s="306"/>
      <c r="AS39" s="306"/>
      <c r="AT39" s="306"/>
      <c r="AU39" s="306"/>
      <c r="AV39" s="306"/>
      <c r="AW39" s="356">
        <v>0</v>
      </c>
    </row>
    <row r="40" spans="1:49" s="4284" customFormat="1" ht="0" hidden="1" customHeight="1">
      <c r="A40" s="1169"/>
      <c r="B40" s="1169"/>
      <c r="C40" s="1169"/>
      <c r="D40" s="1169"/>
      <c r="E40" s="1169"/>
      <c r="F40" s="1169"/>
      <c r="G40" s="1169"/>
      <c r="H40" s="1169"/>
      <c r="I40" s="1169"/>
      <c r="J40" s="1169"/>
      <c r="K40" s="1169"/>
      <c r="L40" s="1169"/>
      <c r="M40" s="1301"/>
      <c r="N40" s="1169"/>
      <c r="O40" s="1169"/>
      <c r="P40" s="1169"/>
      <c r="U40" s="261"/>
      <c r="V40" s="261"/>
      <c r="W40" s="1261"/>
      <c r="X40" s="264"/>
      <c r="Y40" s="264"/>
      <c r="Z40" s="264"/>
      <c r="AA40" s="264"/>
      <c r="AB40" s="264"/>
      <c r="AC40" s="264"/>
      <c r="AD40" s="264"/>
      <c r="AE40" s="264"/>
      <c r="AF40" s="216" t="s">
        <v>518</v>
      </c>
      <c r="AG40" s="264"/>
      <c r="AH40" s="264"/>
      <c r="AI40" s="264"/>
      <c r="AJ40" s="264"/>
      <c r="AK40" s="264"/>
      <c r="AL40" s="264"/>
      <c r="AM40" s="264"/>
      <c r="AN40" s="264"/>
      <c r="AO40" s="216" t="s">
        <v>518</v>
      </c>
      <c r="AR40" s="306"/>
      <c r="AS40" s="306"/>
      <c r="AT40" s="306"/>
      <c r="AU40" s="306"/>
      <c r="AV40" s="306"/>
      <c r="AW40" s="356">
        <v>0</v>
      </c>
    </row>
    <row r="41" spans="1:49" ht="14.65" customHeight="1">
      <c r="R41" s="314"/>
      <c r="S41" s="314"/>
      <c r="T41" s="314"/>
      <c r="U41" s="1196"/>
      <c r="V41" s="301"/>
      <c r="W41" s="1165"/>
      <c r="X41" s="5481"/>
      <c r="Y41" s="5481"/>
      <c r="Z41" s="5481"/>
      <c r="AA41" s="5481"/>
      <c r="AB41" s="5481"/>
      <c r="AC41" s="5481"/>
      <c r="AD41" s="5481"/>
      <c r="AE41" s="5481"/>
      <c r="AF41" s="5481"/>
      <c r="AG41" s="5481"/>
      <c r="AH41" s="5481"/>
      <c r="AI41" s="5481"/>
      <c r="AJ41" s="5481"/>
      <c r="AK41" s="5481"/>
      <c r="AL41" s="5481"/>
      <c r="AM41" s="5481"/>
      <c r="AN41" s="5481"/>
      <c r="AO41" s="5481"/>
      <c r="AW41" s="1076">
        <v>14</v>
      </c>
    </row>
    <row r="42" spans="1:49" ht="14.65" customHeight="1">
      <c r="R42" s="314"/>
      <c r="S42" s="314"/>
      <c r="T42" s="314"/>
      <c r="U42" s="5328" t="s">
        <v>393</v>
      </c>
      <c r="V42" s="5328"/>
      <c r="W42" s="5328"/>
      <c r="X42" s="5328"/>
      <c r="Y42" s="5328"/>
      <c r="Z42" s="5328"/>
      <c r="AA42" s="5328"/>
      <c r="AB42" s="5328"/>
      <c r="AC42" s="5328"/>
      <c r="AD42" s="5328"/>
      <c r="AE42" s="5328"/>
      <c r="AF42" s="5328"/>
      <c r="AG42" s="5328"/>
      <c r="AH42" s="5328"/>
      <c r="AI42" s="5328"/>
      <c r="AJ42" s="5328"/>
      <c r="AK42" s="5328"/>
      <c r="AL42" s="5328"/>
      <c r="AM42" s="5328"/>
      <c r="AN42" s="5328"/>
      <c r="AO42" s="5328"/>
      <c r="AP42" s="5328"/>
      <c r="AQ42" s="5328" t="s">
        <v>394</v>
      </c>
      <c r="AW42" s="1076">
        <v>14</v>
      </c>
    </row>
    <row r="43" spans="1:49" ht="14.65" customHeight="1">
      <c r="R43" s="314"/>
      <c r="S43" s="314"/>
      <c r="T43" s="314"/>
      <c r="U43" s="5482" t="s">
        <v>88</v>
      </c>
      <c r="V43" s="5431" t="s">
        <v>519</v>
      </c>
      <c r="W43" s="239"/>
      <c r="X43" s="5483" t="s">
        <v>520</v>
      </c>
      <c r="Y43" s="5499"/>
      <c r="Z43" s="5499"/>
      <c r="AA43" s="5499"/>
      <c r="AB43" s="5499"/>
      <c r="AC43" s="5484"/>
      <c r="AD43" s="5484"/>
      <c r="AE43" s="5485"/>
      <c r="AF43" s="5486" t="s">
        <v>521</v>
      </c>
      <c r="AG43" s="5483" t="s">
        <v>520</v>
      </c>
      <c r="AH43" s="5499"/>
      <c r="AI43" s="5499"/>
      <c r="AJ43" s="5499"/>
      <c r="AK43" s="5499"/>
      <c r="AL43" s="5484"/>
      <c r="AM43" s="5484"/>
      <c r="AN43" s="5485"/>
      <c r="AO43" s="5486" t="s">
        <v>522</v>
      </c>
      <c r="AP43" s="5489" t="s">
        <v>523</v>
      </c>
      <c r="AQ43" s="5328"/>
      <c r="AW43" s="1076">
        <v>14</v>
      </c>
    </row>
    <row r="44" spans="1:49" ht="35.65" customHeight="1">
      <c r="R44" s="314"/>
      <c r="S44" s="314"/>
      <c r="T44" s="314"/>
      <c r="U44" s="5482"/>
      <c r="V44" s="5431"/>
      <c r="W44" s="956"/>
      <c r="X44" s="5404" t="s">
        <v>545</v>
      </c>
      <c r="Y44" s="5328" t="s">
        <v>546</v>
      </c>
      <c r="Z44" s="5328"/>
      <c r="AA44" s="5328"/>
      <c r="AB44" s="5328"/>
      <c r="AC44" s="5404" t="s">
        <v>527</v>
      </c>
      <c r="AD44" s="5511"/>
      <c r="AE44" s="5405"/>
      <c r="AF44" s="5487"/>
      <c r="AG44" s="5404" t="s">
        <v>545</v>
      </c>
      <c r="AH44" s="5328" t="s">
        <v>546</v>
      </c>
      <c r="AI44" s="5328"/>
      <c r="AJ44" s="5328"/>
      <c r="AK44" s="5328"/>
      <c r="AL44" s="5404" t="s">
        <v>527</v>
      </c>
      <c r="AM44" s="5511"/>
      <c r="AN44" s="5405"/>
      <c r="AO44" s="5487"/>
      <c r="AP44" s="5490"/>
      <c r="AQ44" s="5328"/>
      <c r="AW44" s="1076">
        <v>34</v>
      </c>
    </row>
    <row r="45" spans="1:49" ht="14.65" customHeight="1">
      <c r="R45" s="314"/>
      <c r="S45" s="314"/>
      <c r="T45" s="314"/>
      <c r="U45" s="5482"/>
      <c r="V45" s="5431"/>
      <c r="W45" s="956"/>
      <c r="X45" s="5406"/>
      <c r="Y45" s="5437" t="s">
        <v>547</v>
      </c>
      <c r="Z45" s="5436" t="s">
        <v>548</v>
      </c>
      <c r="AA45" s="5448"/>
      <c r="AB45" s="5449"/>
      <c r="AC45" s="5409"/>
      <c r="AD45" s="5512"/>
      <c r="AE45" s="5410"/>
      <c r="AF45" s="5487"/>
      <c r="AG45" s="5406"/>
      <c r="AH45" s="5437" t="s">
        <v>547</v>
      </c>
      <c r="AI45" s="5436" t="s">
        <v>548</v>
      </c>
      <c r="AJ45" s="5448"/>
      <c r="AK45" s="5449"/>
      <c r="AL45" s="5409"/>
      <c r="AM45" s="5512"/>
      <c r="AN45" s="5410"/>
      <c r="AO45" s="5487"/>
      <c r="AP45" s="5490"/>
      <c r="AQ45" s="5328"/>
      <c r="AW45" s="1076">
        <v>14</v>
      </c>
    </row>
    <row r="46" spans="1:49" ht="27.4" customHeight="1">
      <c r="R46" s="314"/>
      <c r="S46" s="314"/>
      <c r="T46" s="314"/>
      <c r="U46" s="5482"/>
      <c r="V46" s="5431"/>
      <c r="W46" s="956"/>
      <c r="X46" s="5406"/>
      <c r="Y46" s="5510"/>
      <c r="Z46" s="5437" t="s">
        <v>549</v>
      </c>
      <c r="AA46" s="5436" t="s">
        <v>550</v>
      </c>
      <c r="AB46" s="5449"/>
      <c r="AC46" s="5437" t="s">
        <v>537</v>
      </c>
      <c r="AD46" s="5441" t="s">
        <v>538</v>
      </c>
      <c r="AE46" s="5439"/>
      <c r="AF46" s="5487"/>
      <c r="AG46" s="5406"/>
      <c r="AH46" s="5510"/>
      <c r="AI46" s="5437" t="s">
        <v>549</v>
      </c>
      <c r="AJ46" s="5436" t="s">
        <v>550</v>
      </c>
      <c r="AK46" s="5449"/>
      <c r="AL46" s="5437" t="s">
        <v>537</v>
      </c>
      <c r="AM46" s="5441" t="s">
        <v>538</v>
      </c>
      <c r="AN46" s="5439"/>
      <c r="AO46" s="5487"/>
      <c r="AP46" s="5490"/>
      <c r="AQ46" s="5328"/>
      <c r="AW46" s="1076">
        <v>26</v>
      </c>
    </row>
    <row r="47" spans="1:49" ht="65.25" customHeight="1">
      <c r="A47" s="1180"/>
      <c r="B47" s="1180" t="s">
        <v>167</v>
      </c>
      <c r="C47" s="1180" t="s">
        <v>168</v>
      </c>
      <c r="D47" s="1180" t="s">
        <v>169</v>
      </c>
      <c r="E47" s="1231" t="s">
        <v>528</v>
      </c>
      <c r="F47" s="1231" t="s">
        <v>529</v>
      </c>
      <c r="G47" s="1231" t="s">
        <v>530</v>
      </c>
      <c r="H47" s="1231" t="s">
        <v>531</v>
      </c>
      <c r="I47" s="1231" t="s">
        <v>532</v>
      </c>
      <c r="J47" s="1231" t="s">
        <v>533</v>
      </c>
      <c r="K47" s="1231" t="s">
        <v>534</v>
      </c>
      <c r="L47" s="1231" t="s">
        <v>551</v>
      </c>
      <c r="M47" s="1231" t="s">
        <v>509</v>
      </c>
      <c r="R47" s="314"/>
      <c r="S47" s="314"/>
      <c r="T47" s="314"/>
      <c r="U47" s="5482"/>
      <c r="V47" s="5431"/>
      <c r="W47" s="240"/>
      <c r="X47" s="5409"/>
      <c r="Y47" s="5438"/>
      <c r="Z47" s="5438"/>
      <c r="AA47" s="1143" t="s">
        <v>552</v>
      </c>
      <c r="AB47" s="1143" t="s">
        <v>553</v>
      </c>
      <c r="AC47" s="5438"/>
      <c r="AD47" s="5442"/>
      <c r="AE47" s="5440"/>
      <c r="AF47" s="5488"/>
      <c r="AG47" s="5409"/>
      <c r="AH47" s="5438"/>
      <c r="AI47" s="5438"/>
      <c r="AJ47" s="1143" t="s">
        <v>552</v>
      </c>
      <c r="AK47" s="1143" t="s">
        <v>553</v>
      </c>
      <c r="AL47" s="5438"/>
      <c r="AM47" s="5442"/>
      <c r="AN47" s="5440"/>
      <c r="AO47" s="5488"/>
      <c r="AP47" s="5491"/>
      <c r="AQ47" s="5328"/>
      <c r="AW47" s="1076">
        <v>62</v>
      </c>
    </row>
    <row r="48" spans="1:49" s="4299" customFormat="1" ht="11.25" hidden="1" customHeight="1">
      <c r="A48" s="1180"/>
      <c r="B48" s="1180"/>
      <c r="C48" s="1180"/>
      <c r="D48" s="1180"/>
      <c r="E48" s="1180"/>
      <c r="F48" s="1180"/>
      <c r="G48" s="1180"/>
      <c r="H48" s="1180"/>
      <c r="I48" s="1180"/>
      <c r="J48" s="1180"/>
      <c r="K48" s="1180"/>
      <c r="L48" s="1180"/>
      <c r="M48" s="1231"/>
      <c r="N48" s="1249"/>
      <c r="O48" s="1249"/>
      <c r="P48" s="1249"/>
      <c r="Q48" s="1167"/>
      <c r="R48" s="1168"/>
      <c r="S48" s="1175">
        <v>1</v>
      </c>
      <c r="T48" s="1175"/>
      <c r="U48" s="1198" t="s">
        <v>136</v>
      </c>
      <c r="V48" s="1176" t="s">
        <v>103</v>
      </c>
      <c r="W48" s="1166" t="str">
        <f ca="1">OFFSET(W48,0,-1)</f>
        <v>2</v>
      </c>
      <c r="X48" s="1256">
        <f ca="1">OFFSET(X48,0,-1)+1</f>
        <v>3</v>
      </c>
      <c r="Y48" s="1262"/>
      <c r="Z48" s="1262"/>
      <c r="AA48" s="1262">
        <f ca="1">OFFSET(AA48,0,-1)+1</f>
        <v>1</v>
      </c>
      <c r="AB48" s="1262">
        <f ca="1">OFFSET(AB48,0,-1)+1</f>
        <v>2</v>
      </c>
      <c r="AC48" s="1256">
        <f ca="1">OFFSET(AC48,0,-1)+1</f>
        <v>3</v>
      </c>
      <c r="AD48" s="5480">
        <f ca="1">OFFSET(AD48,0,-1)+1</f>
        <v>4</v>
      </c>
      <c r="AE48" s="5480"/>
      <c r="AF48" s="1256">
        <f ca="1">OFFSET(AF48,0,-2)+1</f>
        <v>5</v>
      </c>
      <c r="AG48" s="1256">
        <f ca="1">OFFSET(AG48,0,-1)+1</f>
        <v>6</v>
      </c>
      <c r="AH48" s="1256"/>
      <c r="AI48" s="1256"/>
      <c r="AJ48" s="1256">
        <f ca="1">OFFSET(AJ48,0,-1)+1</f>
        <v>1</v>
      </c>
      <c r="AK48" s="1256">
        <f ca="1">OFFSET(AK48,0,-1)+1</f>
        <v>2</v>
      </c>
      <c r="AL48" s="1256">
        <f ca="1">OFFSET(AL48,0,-1)+1</f>
        <v>3</v>
      </c>
      <c r="AM48" s="5480">
        <f ca="1">OFFSET(AM48,0,-1)+1</f>
        <v>4</v>
      </c>
      <c r="AN48" s="5480"/>
      <c r="AO48" s="1256">
        <f ca="1">OFFSET(AO48,0,-2)+1</f>
        <v>5</v>
      </c>
      <c r="AP48" s="1166">
        <f ca="1">OFFSET(AP48,0,-1)</f>
        <v>5</v>
      </c>
      <c r="AQ48" s="1256">
        <f ca="1">OFFSET(AQ48,0,-1)+1</f>
        <v>6</v>
      </c>
      <c r="AR48" s="449"/>
      <c r="AS48" s="449"/>
      <c r="AT48" s="449"/>
      <c r="AU48" s="449"/>
      <c r="AV48" s="449"/>
      <c r="AW48" s="434">
        <v>0</v>
      </c>
    </row>
    <row r="49" spans="1:49" ht="21.95" customHeight="1">
      <c r="A49" s="1188" t="s">
        <v>205</v>
      </c>
      <c r="B49" s="1188"/>
      <c r="C49" s="1188"/>
      <c r="D49" s="1188"/>
      <c r="E49" s="5495">
        <v>1</v>
      </c>
      <c r="F49" s="1188"/>
      <c r="G49" s="1188"/>
      <c r="H49" s="1188"/>
      <c r="I49" s="1188"/>
      <c r="J49" s="1188"/>
      <c r="K49" s="1188"/>
      <c r="L49" s="1188"/>
      <c r="M49" s="1231"/>
      <c r="N49" s="626"/>
      <c r="O49" s="626"/>
      <c r="P49" s="626"/>
      <c r="Q49" s="299"/>
      <c r="R49" s="298"/>
      <c r="S49" s="298"/>
      <c r="T49" s="293"/>
      <c r="U49" s="1257">
        <f>INDEX(PT_DIFFERENTIATION_NUM_NTAR,MATCH(A49,PT_DIFFERENTIATION_NTAR_ID,0))</f>
        <v>0</v>
      </c>
      <c r="V49" s="236" t="s">
        <v>155</v>
      </c>
      <c r="W49" s="238"/>
      <c r="X49" s="5463"/>
      <c r="Y49" s="5464"/>
      <c r="Z49" s="5464"/>
      <c r="AA49" s="5464"/>
      <c r="AB49" s="5464"/>
      <c r="AC49" s="5464"/>
      <c r="AD49" s="5464"/>
      <c r="AE49" s="5464"/>
      <c r="AF49" s="5465"/>
      <c r="AG49" s="5463" t="str">
        <f>INDEX(PT_DIFFERENTIATION_NTAR,MATCH(A49,PT_DIFFERENTIATION_NTAR_ID,0))</f>
        <v/>
      </c>
      <c r="AH49" s="5464"/>
      <c r="AI49" s="5464"/>
      <c r="AJ49" s="5464"/>
      <c r="AK49" s="5464"/>
      <c r="AL49" s="5464"/>
      <c r="AM49" s="5464"/>
      <c r="AN49" s="5464"/>
      <c r="AO49" s="5464"/>
      <c r="AP49" s="5465"/>
      <c r="AQ49"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76">
        <v>21</v>
      </c>
    </row>
    <row r="50" spans="1:49" ht="21.95" customHeight="1">
      <c r="A50" s="1188" t="s">
        <v>205</v>
      </c>
      <c r="B50" s="1188" t="s">
        <v>206</v>
      </c>
      <c r="C50" s="1188"/>
      <c r="D50" s="1188"/>
      <c r="E50" s="5496"/>
      <c r="F50" s="5495">
        <v>1</v>
      </c>
      <c r="G50" s="1188"/>
      <c r="H50" s="1188"/>
      <c r="I50" s="1188"/>
      <c r="J50" s="1188"/>
      <c r="K50" s="1188"/>
      <c r="L50" s="1188"/>
      <c r="M50" s="1231"/>
      <c r="N50" s="626"/>
      <c r="O50" s="626"/>
      <c r="P50" s="626"/>
      <c r="Q50" s="1253"/>
      <c r="R50" s="290"/>
      <c r="S50" s="447"/>
      <c r="T50" s="291"/>
      <c r="U50" s="1257" t="str">
        <f>INDEX(PT_DIFFERENTIATION_NUM_TER,MATCH(B50,PT_DIFFERENTIATION_TER_ID,0))</f>
        <v>.</v>
      </c>
      <c r="V50" s="246" t="s">
        <v>490</v>
      </c>
      <c r="W50" s="238"/>
      <c r="X50" s="5463"/>
      <c r="Y50" s="5464"/>
      <c r="Z50" s="5464"/>
      <c r="AA50" s="5464"/>
      <c r="AB50" s="5464"/>
      <c r="AC50" s="5464"/>
      <c r="AD50" s="5464"/>
      <c r="AE50" s="5464"/>
      <c r="AF50" s="5465"/>
      <c r="AG50" s="5463" t="str">
        <f>INDEX(PT_DIFFERENTIATION_TER,MATCH(B50,PT_DIFFERENTIATION_TER_ID,0))</f>
        <v/>
      </c>
      <c r="AH50" s="5464"/>
      <c r="AI50" s="5464"/>
      <c r="AJ50" s="5464"/>
      <c r="AK50" s="5464"/>
      <c r="AL50" s="5464"/>
      <c r="AM50" s="5464"/>
      <c r="AN50" s="5464"/>
      <c r="AO50" s="5464"/>
      <c r="AP50" s="5465"/>
      <c r="AQ50" s="1179" t="s">
        <v>491</v>
      </c>
      <c r="AS50" s="438"/>
      <c r="AT50" s="438" t="str">
        <f t="shared" si="2"/>
        <v>Территория действия тарифа</v>
      </c>
      <c r="AU50" s="438"/>
      <c r="AV50" s="438"/>
      <c r="AW50" s="1076">
        <v>21</v>
      </c>
    </row>
    <row r="51" spans="1:49" ht="24" customHeight="1">
      <c r="A51" s="1188" t="s">
        <v>205</v>
      </c>
      <c r="B51" s="1188" t="s">
        <v>206</v>
      </c>
      <c r="C51" s="1188" t="s">
        <v>207</v>
      </c>
      <c r="D51" s="1188"/>
      <c r="E51" s="5496"/>
      <c r="F51" s="5496"/>
      <c r="G51" s="5495">
        <v>1</v>
      </c>
      <c r="H51" s="1188"/>
      <c r="I51" s="1188"/>
      <c r="J51" s="1188"/>
      <c r="K51" s="1188"/>
      <c r="L51" s="1188"/>
      <c r="M51" s="1231"/>
      <c r="N51" s="626"/>
      <c r="O51" s="626"/>
      <c r="P51" s="626"/>
      <c r="Q51" s="292"/>
      <c r="R51" s="290"/>
      <c r="S51" s="447"/>
      <c r="T51" s="291"/>
      <c r="U51" s="1257" t="str">
        <f>INDEX(PT_DIFFERENTIATION_NUM_CS,MATCH(C51,PT_DIFFERENTIATION_CS_ID,0))</f>
        <v>..</v>
      </c>
      <c r="V51" s="247" t="s">
        <v>492</v>
      </c>
      <c r="W51" s="238"/>
      <c r="X51" s="5463"/>
      <c r="Y51" s="5464"/>
      <c r="Z51" s="5464"/>
      <c r="AA51" s="5464"/>
      <c r="AB51" s="5464"/>
      <c r="AC51" s="5464"/>
      <c r="AD51" s="5464"/>
      <c r="AE51" s="5464"/>
      <c r="AF51" s="5465"/>
      <c r="AG51" s="5463" t="str">
        <f>INDEX(PT_DIFFERENTIATION_CS,MATCH(C51,PT_DIFFERENTIATION_CS_ID,0))</f>
        <v/>
      </c>
      <c r="AH51" s="5464"/>
      <c r="AI51" s="5464"/>
      <c r="AJ51" s="5464"/>
      <c r="AK51" s="5464"/>
      <c r="AL51" s="5464"/>
      <c r="AM51" s="5464"/>
      <c r="AN51" s="5464"/>
      <c r="AO51" s="5464"/>
      <c r="AP51" s="5465"/>
      <c r="AQ51" s="1179" t="s">
        <v>493</v>
      </c>
      <c r="AS51" s="438"/>
      <c r="AT51" s="438" t="str">
        <f t="shared" si="2"/>
        <v xml:space="preserve">Наименование системы теплоснабжения </v>
      </c>
      <c r="AU51" s="438"/>
      <c r="AV51" s="438"/>
      <c r="AW51" s="1076">
        <v>23</v>
      </c>
    </row>
    <row r="52" spans="1:49" ht="21.95" customHeight="1">
      <c r="A52" s="1188" t="s">
        <v>205</v>
      </c>
      <c r="B52" s="1188" t="s">
        <v>206</v>
      </c>
      <c r="C52" s="1188" t="s">
        <v>207</v>
      </c>
      <c r="D52" s="1188" t="s">
        <v>208</v>
      </c>
      <c r="E52" s="5496"/>
      <c r="F52" s="5496"/>
      <c r="G52" s="5496"/>
      <c r="H52" s="5495">
        <v>1</v>
      </c>
      <c r="I52" s="1188"/>
      <c r="J52" s="1188"/>
      <c r="K52" s="1188"/>
      <c r="L52" s="1188"/>
      <c r="M52" s="1231"/>
      <c r="N52" s="626"/>
      <c r="O52" s="626"/>
      <c r="P52" s="626"/>
      <c r="Q52" s="292"/>
      <c r="R52" s="290"/>
      <c r="S52" s="447"/>
      <c r="T52" s="291"/>
      <c r="U52" s="1257" t="str">
        <f>INDEX(PT_DIFFERENTIATION_NUM_IST_TE,MATCH(D52,PT_DIFFERENTIATION_IST_TE_ID,0))</f>
        <v>...</v>
      </c>
      <c r="V52" s="248" t="s">
        <v>494</v>
      </c>
      <c r="W52" s="238"/>
      <c r="X52" s="5463"/>
      <c r="Y52" s="5464"/>
      <c r="Z52" s="5464"/>
      <c r="AA52" s="5464"/>
      <c r="AB52" s="5464"/>
      <c r="AC52" s="5464"/>
      <c r="AD52" s="5464"/>
      <c r="AE52" s="5464"/>
      <c r="AF52" s="5465"/>
      <c r="AG52" s="5463" t="str">
        <f>INDEX(PT_DIFFERENTIATION_IST_TE,MATCH(D52,PT_DIFFERENTIATION_IST_TE_ID,0))</f>
        <v/>
      </c>
      <c r="AH52" s="5464"/>
      <c r="AI52" s="5464"/>
      <c r="AJ52" s="5464"/>
      <c r="AK52" s="5464"/>
      <c r="AL52" s="5464"/>
      <c r="AM52" s="5464"/>
      <c r="AN52" s="5464"/>
      <c r="AO52" s="5464"/>
      <c r="AP52" s="5465"/>
      <c r="AQ52" s="1179" t="s">
        <v>495</v>
      </c>
      <c r="AS52" s="438"/>
      <c r="AT52" s="438" t="str">
        <f t="shared" si="2"/>
        <v xml:space="preserve">Источник тепловой энергии  </v>
      </c>
      <c r="AU52" s="438"/>
      <c r="AV52" s="438"/>
      <c r="AW52" s="1076">
        <v>21</v>
      </c>
    </row>
    <row r="53" spans="1:49" s="4275" customFormat="1" ht="0" hidden="1" customHeight="1">
      <c r="A53" s="1296" t="s">
        <v>205</v>
      </c>
      <c r="B53" s="1296" t="s">
        <v>206</v>
      </c>
      <c r="C53" s="1296" t="s">
        <v>207</v>
      </c>
      <c r="D53" s="1296" t="s">
        <v>208</v>
      </c>
      <c r="E53" s="5496"/>
      <c r="F53" s="5496"/>
      <c r="G53" s="5496"/>
      <c r="H53" s="5496"/>
      <c r="I53" s="5328" t="str">
        <f>U52&amp;".1"</f>
        <v>....1</v>
      </c>
      <c r="J53" s="1296"/>
      <c r="K53" s="1296"/>
      <c r="L53" s="1296"/>
      <c r="M53" s="1302" t="s">
        <v>496</v>
      </c>
      <c r="N53" s="1167"/>
      <c r="O53" s="1167"/>
      <c r="P53" s="1167"/>
      <c r="Q53" s="5473">
        <v>1</v>
      </c>
      <c r="R53" s="1252"/>
      <c r="S53" s="1252"/>
      <c r="T53" s="294"/>
      <c r="U53" s="967"/>
      <c r="V53" s="1304"/>
      <c r="W53" s="1305"/>
      <c r="X53" s="5500"/>
      <c r="Y53" s="5501"/>
      <c r="Z53" s="5501"/>
      <c r="AA53" s="5501"/>
      <c r="AB53" s="5501"/>
      <c r="AC53" s="5501"/>
      <c r="AD53" s="5501"/>
      <c r="AE53" s="5501"/>
      <c r="AF53" s="5502"/>
      <c r="AG53" s="5500"/>
      <c r="AH53" s="5501"/>
      <c r="AI53" s="5501"/>
      <c r="AJ53" s="5501"/>
      <c r="AK53" s="5501"/>
      <c r="AL53" s="5501"/>
      <c r="AM53" s="5501"/>
      <c r="AN53" s="5501"/>
      <c r="AO53" s="5501"/>
      <c r="AP53" s="5502"/>
      <c r="AQ53" s="1306"/>
      <c r="AS53" s="438"/>
      <c r="AT53" s="438" t="str">
        <f t="shared" si="2"/>
        <v/>
      </c>
      <c r="AU53" s="438"/>
      <c r="AV53" s="438"/>
      <c r="AW53" s="449">
        <v>0</v>
      </c>
    </row>
    <row r="54" spans="1:49" ht="21.95" customHeight="1">
      <c r="A54" s="1188" t="s">
        <v>205</v>
      </c>
      <c r="B54" s="1188" t="s">
        <v>206</v>
      </c>
      <c r="C54" s="1188" t="s">
        <v>207</v>
      </c>
      <c r="D54" s="1188" t="s">
        <v>208</v>
      </c>
      <c r="E54" s="5496"/>
      <c r="F54" s="5496"/>
      <c r="G54" s="5496"/>
      <c r="H54" s="5496"/>
      <c r="I54" s="5309"/>
      <c r="J54" s="5328" t="str">
        <f>I53&amp;".1"</f>
        <v>....1.1</v>
      </c>
      <c r="K54" s="1188"/>
      <c r="L54" s="1188"/>
      <c r="M54" s="1231" t="s">
        <v>499</v>
      </c>
      <c r="Q54" s="5473"/>
      <c r="R54" s="5473">
        <v>1</v>
      </c>
      <c r="S54" s="456"/>
      <c r="T54" s="295"/>
      <c r="U54" s="1257" t="str">
        <f>$J54</f>
        <v>....1.1</v>
      </c>
      <c r="V54" s="224" t="s">
        <v>500</v>
      </c>
      <c r="W54" s="238"/>
      <c r="X54" s="5457"/>
      <c r="Y54" s="5458"/>
      <c r="Z54" s="5458"/>
      <c r="AA54" s="5458"/>
      <c r="AB54" s="5458"/>
      <c r="AC54" s="5453"/>
      <c r="AD54" s="5453"/>
      <c r="AE54" s="5453"/>
      <c r="AF54" s="5513"/>
      <c r="AG54" s="5457"/>
      <c r="AH54" s="5458"/>
      <c r="AI54" s="5458"/>
      <c r="AJ54" s="5458"/>
      <c r="AK54" s="5458"/>
      <c r="AL54" s="5458"/>
      <c r="AM54" s="5458"/>
      <c r="AN54" s="5458"/>
      <c r="AO54" s="5458"/>
      <c r="AP54" s="5459"/>
      <c r="AQ54" s="1179" t="s">
        <v>501</v>
      </c>
      <c r="AS54" s="438"/>
      <c r="AT54" s="438" t="str">
        <f t="shared" si="2"/>
        <v>Группа потребителей</v>
      </c>
      <c r="AU54" s="438"/>
      <c r="AV54" s="438"/>
      <c r="AW54" s="1076">
        <v>21</v>
      </c>
    </row>
    <row r="55" spans="1:49" ht="21.95" customHeight="1">
      <c r="A55" s="1188" t="s">
        <v>205</v>
      </c>
      <c r="B55" s="1188" t="s">
        <v>206</v>
      </c>
      <c r="C55" s="1188" t="s">
        <v>207</v>
      </c>
      <c r="D55" s="1188" t="s">
        <v>208</v>
      </c>
      <c r="E55" s="5496"/>
      <c r="F55" s="5496"/>
      <c r="G55" s="5496"/>
      <c r="H55" s="5496"/>
      <c r="I55" s="5309"/>
      <c r="J55" s="5309"/>
      <c r="K55" s="5328" t="str">
        <f>J54&amp;".1"</f>
        <v>....1.1.1</v>
      </c>
      <c r="L55" s="79"/>
      <c r="M55" s="1231" t="s">
        <v>502</v>
      </c>
      <c r="Q55" s="5473"/>
      <c r="R55" s="5473"/>
      <c r="S55" s="456">
        <v>1</v>
      </c>
      <c r="T55" s="295"/>
      <c r="U55" s="1257" t="str">
        <f>$K55</f>
        <v>....1.1.1</v>
      </c>
      <c r="V55" s="1268"/>
      <c r="W55" s="238"/>
      <c r="X55" s="689"/>
      <c r="Y55" s="689"/>
      <c r="Z55" s="689"/>
      <c r="AA55" s="689"/>
      <c r="AB55" s="1326"/>
      <c r="AC55" s="5474"/>
      <c r="AD55" s="5338" t="s">
        <v>66</v>
      </c>
      <c r="AE55" s="5474"/>
      <c r="AF55" s="5338" t="s">
        <v>66</v>
      </c>
      <c r="AG55" s="1328"/>
      <c r="AH55" s="689"/>
      <c r="AI55" s="689"/>
      <c r="AJ55" s="689"/>
      <c r="AK55" s="1178"/>
      <c r="AL55" s="5474"/>
      <c r="AM55" s="5338" t="s">
        <v>66</v>
      </c>
      <c r="AN55" s="5474"/>
      <c r="AO55" s="5338" t="s">
        <v>66</v>
      </c>
      <c r="AP55" s="1269"/>
      <c r="AQ55" s="1228" t="s">
        <v>542</v>
      </c>
      <c r="AR55" s="449" t="e">
        <f ca="1">STRCHECKDATE(X57:AP57)</f>
        <v>#NAME?</v>
      </c>
      <c r="AS55" s="438"/>
      <c r="AT55" s="438" t="str">
        <f t="shared" si="2"/>
        <v/>
      </c>
      <c r="AU55" s="438"/>
      <c r="AV55" s="438"/>
      <c r="AW55" s="1076">
        <v>21</v>
      </c>
    </row>
    <row r="56" spans="1:49" ht="11.45" customHeight="1">
      <c r="A56" s="1188" t="s">
        <v>205</v>
      </c>
      <c r="B56" s="1188" t="s">
        <v>206</v>
      </c>
      <c r="C56" s="1188" t="s">
        <v>207</v>
      </c>
      <c r="D56" s="1188" t="s">
        <v>208</v>
      </c>
      <c r="E56" s="5496"/>
      <c r="F56" s="5496"/>
      <c r="G56" s="5496"/>
      <c r="H56" s="5496"/>
      <c r="I56" s="5309"/>
      <c r="J56" s="5309"/>
      <c r="K56" s="5309"/>
      <c r="L56" s="5328" t="str">
        <f>K55&amp;".1"</f>
        <v>....1.1.1.1</v>
      </c>
      <c r="M56" s="1231"/>
      <c r="Q56" s="5473"/>
      <c r="R56" s="5473"/>
      <c r="S56" s="456">
        <v>1</v>
      </c>
      <c r="T56" s="295"/>
      <c r="U56" s="1257" t="str">
        <f>$L56</f>
        <v>....1.1.1.1</v>
      </c>
      <c r="V56" s="1312"/>
      <c r="W56" s="238"/>
      <c r="X56" s="263"/>
      <c r="Y56" s="689"/>
      <c r="Z56" s="689"/>
      <c r="AA56" s="689"/>
      <c r="AB56" s="1326"/>
      <c r="AC56" s="5475"/>
      <c r="AD56" s="5338"/>
      <c r="AE56" s="5475"/>
      <c r="AF56" s="5338"/>
      <c r="AG56" s="1328"/>
      <c r="AH56" s="689"/>
      <c r="AI56" s="689"/>
      <c r="AJ56" s="689"/>
      <c r="AK56" s="1178"/>
      <c r="AL56" s="5475"/>
      <c r="AM56" s="5338"/>
      <c r="AN56" s="5475"/>
      <c r="AO56" s="5338"/>
      <c r="AP56" s="1269"/>
      <c r="AQ56" s="5492" t="s">
        <v>543</v>
      </c>
      <c r="AR56" s="449" t="e">
        <f ca="1">STRCHECKDATE(X58:AP58)</f>
        <v>#NAME?</v>
      </c>
      <c r="AS56" s="438"/>
      <c r="AT56" s="438" t="str">
        <f t="shared" si="2"/>
        <v/>
      </c>
      <c r="AU56" s="438"/>
      <c r="AV56" s="438"/>
      <c r="AW56" s="1076">
        <v>11</v>
      </c>
    </row>
    <row r="57" spans="1:49" ht="0" hidden="1" customHeight="1">
      <c r="A57" s="1188" t="s">
        <v>205</v>
      </c>
      <c r="B57" s="1188" t="s">
        <v>206</v>
      </c>
      <c r="C57" s="1188" t="s">
        <v>207</v>
      </c>
      <c r="D57" s="1188" t="s">
        <v>208</v>
      </c>
      <c r="E57" s="5496"/>
      <c r="F57" s="5496"/>
      <c r="G57" s="5496"/>
      <c r="H57" s="5496"/>
      <c r="I57" s="5309"/>
      <c r="J57" s="5309"/>
      <c r="K57" s="5309"/>
      <c r="L57" s="5328"/>
      <c r="M57" s="1231"/>
      <c r="Q57" s="5473"/>
      <c r="R57" s="5473"/>
      <c r="S57" s="456"/>
      <c r="T57" s="295"/>
      <c r="U57" s="1263"/>
      <c r="V57" s="238"/>
      <c r="W57" s="238"/>
      <c r="X57" s="263"/>
      <c r="Y57" s="263"/>
      <c r="Z57" s="263"/>
      <c r="AA57" s="263"/>
      <c r="AB57" s="1327" t="str">
        <f>AC55&amp;"-"&amp;AE55</f>
        <v>-</v>
      </c>
      <c r="AC57" s="5475"/>
      <c r="AD57" s="5338"/>
      <c r="AE57" s="5475"/>
      <c r="AF57" s="5338"/>
      <c r="AG57" s="1303"/>
      <c r="AH57" s="263"/>
      <c r="AI57" s="263"/>
      <c r="AJ57" s="263"/>
      <c r="AK57" s="266" t="str">
        <f>AL55&amp;"-"&amp;AN55</f>
        <v>-</v>
      </c>
      <c r="AL57" s="5475"/>
      <c r="AM57" s="5338"/>
      <c r="AN57" s="5475"/>
      <c r="AO57" s="5338"/>
      <c r="AP57" s="1270"/>
      <c r="AQ57" s="5493"/>
      <c r="AS57" s="438"/>
      <c r="AT57" s="438" t="str">
        <f t="shared" si="2"/>
        <v/>
      </c>
      <c r="AU57" s="438"/>
      <c r="AV57" s="438"/>
      <c r="AW57" s="1076">
        <v>0</v>
      </c>
    </row>
    <row r="58" spans="1:49" ht="11.45" customHeight="1">
      <c r="A58" s="1188" t="s">
        <v>205</v>
      </c>
      <c r="B58" s="1188" t="s">
        <v>206</v>
      </c>
      <c r="C58" s="1188" t="s">
        <v>207</v>
      </c>
      <c r="D58" s="1188" t="s">
        <v>208</v>
      </c>
      <c r="E58" s="5496"/>
      <c r="F58" s="5496"/>
      <c r="G58" s="5496"/>
      <c r="H58" s="5496"/>
      <c r="I58" s="5309"/>
      <c r="J58" s="5309"/>
      <c r="K58" s="5328"/>
      <c r="L58" s="1188"/>
      <c r="M58" s="1231"/>
      <c r="Q58" s="5473"/>
      <c r="R58" s="5473"/>
      <c r="S58" s="1252"/>
      <c r="T58" s="294"/>
      <c r="U58" s="1199"/>
      <c r="V58" s="226" t="s">
        <v>544</v>
      </c>
      <c r="W58" s="305"/>
      <c r="X58" s="305"/>
      <c r="Y58" s="305"/>
      <c r="Z58" s="305"/>
      <c r="AA58" s="305"/>
      <c r="AB58" s="305"/>
      <c r="AC58" s="5475"/>
      <c r="AD58" s="5338"/>
      <c r="AE58" s="5475"/>
      <c r="AF58" s="5338"/>
      <c r="AG58" s="305"/>
      <c r="AH58" s="305"/>
      <c r="AI58" s="305"/>
      <c r="AJ58" s="305"/>
      <c r="AK58" s="305"/>
      <c r="AL58" s="5475"/>
      <c r="AM58" s="5338"/>
      <c r="AN58" s="5475"/>
      <c r="AO58" s="5338"/>
      <c r="AP58" s="262"/>
      <c r="AQ58" s="5493"/>
      <c r="AS58" s="438"/>
      <c r="AT58" s="438" t="str">
        <f t="shared" si="2"/>
        <v>Добавить наименование поставщика</v>
      </c>
      <c r="AU58" s="438"/>
      <c r="AV58" s="438"/>
      <c r="AW58" s="1076">
        <v>11</v>
      </c>
    </row>
    <row r="59" spans="1:49" ht="11.45" customHeight="1">
      <c r="A59" s="1188" t="s">
        <v>205</v>
      </c>
      <c r="B59" s="1188" t="s">
        <v>206</v>
      </c>
      <c r="C59" s="1188" t="s">
        <v>207</v>
      </c>
      <c r="D59" s="1188" t="s">
        <v>208</v>
      </c>
      <c r="E59" s="5496"/>
      <c r="F59" s="5496"/>
      <c r="G59" s="5496"/>
      <c r="H59" s="5496"/>
      <c r="I59" s="5309"/>
      <c r="J59" s="5328"/>
      <c r="K59" s="1188"/>
      <c r="L59" s="1188"/>
      <c r="M59" s="1231"/>
      <c r="Q59" s="5473"/>
      <c r="R59" s="5473"/>
      <c r="S59" s="1252"/>
      <c r="T59" s="294"/>
      <c r="U59" s="1199"/>
      <c r="V59" s="225" t="s">
        <v>504</v>
      </c>
      <c r="W59" s="305"/>
      <c r="X59" s="305"/>
      <c r="Y59" s="305"/>
      <c r="Z59" s="305"/>
      <c r="AA59" s="305"/>
      <c r="AB59" s="305"/>
      <c r="AC59" s="1329"/>
      <c r="AD59" s="1329"/>
      <c r="AE59" s="1329"/>
      <c r="AF59" s="1329"/>
      <c r="AG59" s="305"/>
      <c r="AH59" s="305"/>
      <c r="AI59" s="305"/>
      <c r="AJ59" s="305"/>
      <c r="AK59" s="305"/>
      <c r="AL59" s="305"/>
      <c r="AM59" s="305"/>
      <c r="AN59" s="305"/>
      <c r="AO59" s="305"/>
      <c r="AP59" s="262"/>
      <c r="AQ59" s="5494"/>
      <c r="AS59" s="438"/>
      <c r="AT59" s="438" t="str">
        <f t="shared" si="2"/>
        <v>Добавить вид теплоносителя (параметры теплоносителя)</v>
      </c>
      <c r="AU59" s="438"/>
      <c r="AV59" s="438"/>
      <c r="AW59" s="1076">
        <v>11</v>
      </c>
    </row>
    <row r="60" spans="1:49" ht="11.45" customHeight="1">
      <c r="A60" s="1188" t="s">
        <v>205</v>
      </c>
      <c r="B60" s="1188" t="s">
        <v>206</v>
      </c>
      <c r="C60" s="1188" t="s">
        <v>207</v>
      </c>
      <c r="D60" s="1188" t="s">
        <v>208</v>
      </c>
      <c r="E60" s="5496"/>
      <c r="F60" s="5496"/>
      <c r="G60" s="5496"/>
      <c r="H60" s="5496"/>
      <c r="I60" s="5328"/>
      <c r="J60" s="1188"/>
      <c r="K60" s="1188"/>
      <c r="L60" s="1188"/>
      <c r="M60" s="1231"/>
      <c r="Q60" s="5473"/>
      <c r="R60" s="1252"/>
      <c r="S60" s="1252"/>
      <c r="T60" s="294"/>
      <c r="U60" s="1199"/>
      <c r="V60" s="303" t="s">
        <v>505</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76">
        <v>11</v>
      </c>
    </row>
    <row r="61" spans="1:49" ht="0" hidden="1" customHeight="1">
      <c r="A61" s="1188" t="s">
        <v>205</v>
      </c>
      <c r="B61" s="1188" t="s">
        <v>206</v>
      </c>
      <c r="C61" s="1188" t="s">
        <v>207</v>
      </c>
      <c r="D61" s="1188" t="s">
        <v>208</v>
      </c>
      <c r="E61" s="5496"/>
      <c r="F61" s="5496"/>
      <c r="G61" s="5496"/>
      <c r="H61" s="5495"/>
      <c r="I61" s="1188"/>
      <c r="J61" s="1188"/>
      <c r="K61" s="1188"/>
      <c r="L61" s="1188"/>
      <c r="M61" s="1231"/>
      <c r="N61" s="626"/>
      <c r="O61" s="626"/>
      <c r="P61" s="447"/>
      <c r="Q61" s="298"/>
      <c r="R61" s="313"/>
      <c r="S61" s="293"/>
      <c r="T61" s="298"/>
      <c r="U61" s="1307"/>
      <c r="V61" s="1308"/>
      <c r="W61" s="1309"/>
      <c r="X61" s="1309"/>
      <c r="Y61" s="1309"/>
      <c r="Z61" s="1309"/>
      <c r="AA61" s="1309"/>
      <c r="AB61" s="1309"/>
      <c r="AC61" s="1309"/>
      <c r="AD61" s="1309"/>
      <c r="AE61" s="1309"/>
      <c r="AF61" s="1309"/>
      <c r="AG61" s="1309"/>
      <c r="AH61" s="1309"/>
      <c r="AI61" s="1309"/>
      <c r="AJ61" s="1309"/>
      <c r="AK61" s="1309"/>
      <c r="AL61" s="1309"/>
      <c r="AM61" s="1309"/>
      <c r="AN61" s="1309"/>
      <c r="AO61" s="1309"/>
      <c r="AP61" s="1309"/>
      <c r="AQ61" s="1310"/>
      <c r="AS61" s="438"/>
      <c r="AT61" s="438" t="str">
        <f t="shared" si="2"/>
        <v/>
      </c>
      <c r="AU61" s="438"/>
      <c r="AV61" s="438"/>
      <c r="AW61" s="1076">
        <v>0</v>
      </c>
    </row>
    <row r="62" spans="1:49" s="4275" customFormat="1" ht="0" hidden="1" customHeight="1">
      <c r="A62" s="1296" t="s">
        <v>205</v>
      </c>
      <c r="B62" s="1296" t="s">
        <v>206</v>
      </c>
      <c r="C62" s="1296" t="s">
        <v>207</v>
      </c>
      <c r="D62" s="1295"/>
      <c r="E62" s="5496"/>
      <c r="F62" s="5496"/>
      <c r="G62" s="5495"/>
      <c r="H62" s="1295"/>
      <c r="I62" s="1295"/>
      <c r="J62" s="1295"/>
      <c r="K62" s="1295"/>
      <c r="L62" s="1295"/>
      <c r="M62" s="1298"/>
      <c r="N62" s="1299"/>
      <c r="O62" s="1299"/>
      <c r="P62" s="289"/>
      <c r="Q62" s="1237"/>
      <c r="R62" s="1238"/>
      <c r="S62" s="1237"/>
      <c r="T62" s="1237"/>
      <c r="U62" s="1243"/>
      <c r="V62" s="1246" t="s">
        <v>507</v>
      </c>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S62" s="721"/>
      <c r="AT62" s="721" t="str">
        <f t="shared" si="2"/>
        <v>Добавить источник для дифференциации</v>
      </c>
      <c r="AU62" s="721"/>
      <c r="AV62" s="721"/>
      <c r="AW62" s="456">
        <v>0</v>
      </c>
    </row>
    <row r="63" spans="1:49" s="4275" customFormat="1" ht="0" hidden="1" customHeight="1">
      <c r="A63" s="1296" t="s">
        <v>205</v>
      </c>
      <c r="B63" s="1296" t="s">
        <v>206</v>
      </c>
      <c r="C63" s="1295"/>
      <c r="D63" s="1295"/>
      <c r="E63" s="5496"/>
      <c r="F63" s="5495"/>
      <c r="G63" s="1295"/>
      <c r="H63" s="1295"/>
      <c r="I63" s="1295"/>
      <c r="J63" s="1295"/>
      <c r="K63" s="1295"/>
      <c r="L63" s="1295"/>
      <c r="M63" s="1298"/>
      <c r="N63" s="1300"/>
      <c r="O63" s="1300"/>
      <c r="P63" s="289"/>
      <c r="Q63" s="1237"/>
      <c r="R63" s="1238"/>
      <c r="S63" s="1237"/>
      <c r="T63" s="1237"/>
      <c r="U63" s="1243"/>
      <c r="V63" s="1246" t="s">
        <v>312</v>
      </c>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S63" s="721"/>
      <c r="AT63" s="721" t="str">
        <f t="shared" si="2"/>
        <v>Добавить централизованную систему для дифференциации</v>
      </c>
      <c r="AU63" s="721"/>
      <c r="AV63" s="721"/>
      <c r="AW63" s="456">
        <v>0</v>
      </c>
    </row>
    <row r="64" spans="1:49" s="4275" customFormat="1" ht="0" hidden="1" customHeight="1">
      <c r="A64" s="1296" t="s">
        <v>205</v>
      </c>
      <c r="B64" s="1296"/>
      <c r="C64" s="1296"/>
      <c r="D64" s="1296"/>
      <c r="E64" s="5495"/>
      <c r="F64" s="1296"/>
      <c r="G64" s="1296"/>
      <c r="H64" s="1296"/>
      <c r="I64" s="1296"/>
      <c r="J64" s="1296"/>
      <c r="K64" s="1296"/>
      <c r="L64" s="1296"/>
      <c r="M64" s="1302"/>
      <c r="N64" s="1300"/>
      <c r="O64" s="1300"/>
      <c r="P64" s="289"/>
      <c r="Q64" s="318"/>
      <c r="R64" s="1265"/>
      <c r="S64" s="318"/>
      <c r="T64" s="318"/>
      <c r="U64" s="1243"/>
      <c r="V64" s="1246" t="s">
        <v>360</v>
      </c>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S64" s="438"/>
      <c r="AT64" s="438" t="str">
        <f t="shared" si="2"/>
        <v>Добавить территорию для дифференциации</v>
      </c>
      <c r="AU64" s="438"/>
      <c r="AV64" s="438"/>
      <c r="AW64" s="449">
        <v>0</v>
      </c>
    </row>
    <row r="65" spans="1:49" s="4275" customFormat="1" ht="4.1500000000000004" customHeight="1">
      <c r="A65" s="1295"/>
      <c r="B65" s="1295"/>
      <c r="C65" s="1295"/>
      <c r="D65" s="1295"/>
      <c r="E65" s="1296"/>
      <c r="F65" s="1295"/>
      <c r="G65" s="1295"/>
      <c r="H65" s="1295"/>
      <c r="I65" s="1295"/>
      <c r="J65" s="1295"/>
      <c r="K65" s="1295"/>
      <c r="L65" s="1295"/>
      <c r="M65" s="1298"/>
      <c r="N65" s="1300"/>
      <c r="O65" s="1300"/>
      <c r="P65" s="289"/>
      <c r="Q65" s="1237"/>
      <c r="R65" s="1238"/>
      <c r="S65" s="1237"/>
      <c r="T65" s="1237"/>
      <c r="U65" s="1243"/>
      <c r="V65" s="1246" t="s">
        <v>361</v>
      </c>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S65" s="721"/>
      <c r="AT65" s="721" t="str">
        <f t="shared" si="2"/>
        <v>Добавить наименование тарифа</v>
      </c>
      <c r="AU65" s="721"/>
      <c r="AV65" s="721"/>
      <c r="AW65" s="456">
        <v>4</v>
      </c>
    </row>
    <row r="66" spans="1:49" ht="11.45" customHeight="1">
      <c r="N66" s="1076"/>
      <c r="O66" s="1076"/>
      <c r="P66" s="447"/>
      <c r="Q66" s="1076"/>
      <c r="R66" s="1076"/>
      <c r="S66" s="1076"/>
      <c r="T66" s="1076"/>
      <c r="U66" s="1076"/>
      <c r="AR66" s="1076"/>
      <c r="AS66" s="1076"/>
      <c r="AT66" s="1076"/>
      <c r="AU66" s="1076"/>
      <c r="AV66" s="1076"/>
      <c r="AW66" s="1076">
        <v>11</v>
      </c>
    </row>
    <row r="67" spans="1:49" ht="35.65" customHeight="1">
      <c r="P67" s="447"/>
      <c r="U67" s="1174"/>
      <c r="V67" s="5468"/>
      <c r="W67" s="5468"/>
      <c r="X67" s="5468"/>
      <c r="Y67" s="5468"/>
      <c r="Z67" s="5468"/>
      <c r="AA67" s="5468"/>
      <c r="AB67" s="5468"/>
      <c r="AC67" s="5468"/>
      <c r="AD67" s="5468"/>
      <c r="AE67" s="5468"/>
      <c r="AF67" s="5468"/>
      <c r="AG67" s="5468"/>
      <c r="AH67" s="5468"/>
      <c r="AI67" s="5468"/>
      <c r="AJ67" s="5468"/>
      <c r="AK67" s="5468"/>
      <c r="AL67" s="5468"/>
      <c r="AM67" s="5468"/>
      <c r="AN67" s="5468"/>
      <c r="AO67" s="5468"/>
      <c r="AP67" s="5468"/>
      <c r="AQ67" s="5468"/>
      <c r="AW67" s="1076">
        <v>34</v>
      </c>
    </row>
    <row r="68" spans="1:49" ht="21" customHeight="1">
      <c r="P68" s="447"/>
      <c r="V68" s="5468"/>
      <c r="W68" s="5468"/>
      <c r="X68" s="5468"/>
      <c r="Y68" s="5468"/>
      <c r="Z68" s="5468"/>
      <c r="AA68" s="5468"/>
      <c r="AB68" s="5468"/>
      <c r="AC68" s="5468"/>
      <c r="AD68" s="5468"/>
      <c r="AE68" s="5468"/>
      <c r="AF68" s="5468"/>
      <c r="AG68" s="5468"/>
      <c r="AH68" s="5468"/>
      <c r="AI68" s="5468"/>
      <c r="AJ68" s="5468"/>
      <c r="AK68" s="5468"/>
      <c r="AL68" s="5468"/>
      <c r="AM68" s="5468"/>
      <c r="AN68" s="5468"/>
      <c r="AO68" s="5468"/>
      <c r="AP68" s="5468"/>
      <c r="AQ68" s="5468"/>
      <c r="AW68" s="1076">
        <v>20</v>
      </c>
    </row>
    <row r="69" spans="1:49" ht="14.65" customHeight="1">
      <c r="P69" s="447"/>
      <c r="AW69" s="1076">
        <v>14</v>
      </c>
    </row>
    <row r="70" spans="1:49" ht="28.5" customHeight="1">
      <c r="P70" s="447"/>
      <c r="V70" s="5468"/>
      <c r="W70" s="5468"/>
      <c r="X70" s="5468"/>
      <c r="Y70" s="5468"/>
      <c r="Z70" s="5468"/>
      <c r="AA70" s="5468"/>
      <c r="AB70" s="5468"/>
      <c r="AC70" s="5468"/>
      <c r="AD70" s="5468"/>
      <c r="AE70" s="5468"/>
      <c r="AF70" s="5468"/>
      <c r="AG70" s="5468"/>
      <c r="AH70" s="5468"/>
      <c r="AI70" s="5468"/>
      <c r="AJ70" s="5468"/>
      <c r="AK70" s="5468"/>
      <c r="AL70" s="5468"/>
      <c r="AM70" s="5468"/>
      <c r="AN70" s="5468"/>
      <c r="AO70" s="5468"/>
      <c r="AP70" s="5468"/>
      <c r="AQ70" s="5468"/>
      <c r="AW70" s="1076">
        <v>27</v>
      </c>
    </row>
    <row r="71" spans="1:49" ht="18.75" customHeight="1">
      <c r="P71" s="447"/>
      <c r="V71" s="5468"/>
      <c r="W71" s="5468"/>
      <c r="X71" s="5468"/>
      <c r="Y71" s="5468"/>
      <c r="Z71" s="5468"/>
      <c r="AA71" s="5468"/>
      <c r="AB71" s="5468"/>
      <c r="AC71" s="5468"/>
      <c r="AD71" s="5468"/>
      <c r="AE71" s="5468"/>
      <c r="AF71" s="5468"/>
      <c r="AG71" s="5468"/>
      <c r="AH71" s="5468"/>
      <c r="AI71" s="5468"/>
      <c r="AJ71" s="5468"/>
      <c r="AK71" s="5468"/>
      <c r="AL71" s="5468"/>
      <c r="AM71" s="5468"/>
      <c r="AN71" s="5468"/>
      <c r="AO71" s="5468"/>
      <c r="AP71" s="5468"/>
      <c r="AQ71" s="5468"/>
      <c r="AW71" s="1076">
        <v>18</v>
      </c>
    </row>
    <row r="72" spans="1:49" ht="22.5" hidden="1" customHeight="1">
      <c r="A72" s="1076" t="s">
        <v>82</v>
      </c>
      <c r="B72" s="1076">
        <v>0</v>
      </c>
      <c r="C72" s="1076">
        <v>0</v>
      </c>
      <c r="D72" s="1076">
        <v>0</v>
      </c>
      <c r="E72" s="1076">
        <v>0</v>
      </c>
      <c r="F72" s="1076">
        <v>0</v>
      </c>
      <c r="G72" s="1076">
        <v>0</v>
      </c>
      <c r="H72" s="1076">
        <v>0</v>
      </c>
      <c r="I72" s="1076">
        <v>0</v>
      </c>
      <c r="J72" s="1076">
        <v>0</v>
      </c>
      <c r="K72" s="1076">
        <v>0</v>
      </c>
      <c r="L72" s="1076">
        <v>0</v>
      </c>
      <c r="M72" s="1248">
        <v>0</v>
      </c>
      <c r="N72" s="1249">
        <v>0</v>
      </c>
      <c r="O72" s="1249">
        <v>0</v>
      </c>
      <c r="P72" s="1249">
        <v>0</v>
      </c>
      <c r="Q72" s="1249">
        <v>0</v>
      </c>
      <c r="R72" s="282">
        <v>3</v>
      </c>
      <c r="S72" s="282">
        <v>3</v>
      </c>
      <c r="T72" s="282">
        <v>3</v>
      </c>
      <c r="U72" s="519">
        <v>12</v>
      </c>
      <c r="V72" s="1076">
        <v>31</v>
      </c>
      <c r="W72" s="1076">
        <v>0</v>
      </c>
      <c r="X72" s="1076">
        <v>0</v>
      </c>
      <c r="Y72" s="1076">
        <v>0</v>
      </c>
      <c r="Z72" s="1076">
        <v>0</v>
      </c>
      <c r="AA72" s="1076">
        <v>0</v>
      </c>
      <c r="AB72" s="1076">
        <v>0</v>
      </c>
      <c r="AC72" s="1076">
        <v>0</v>
      </c>
      <c r="AD72" s="1076">
        <v>0</v>
      </c>
      <c r="AE72" s="1076">
        <v>0</v>
      </c>
      <c r="AF72" s="1076">
        <v>0</v>
      </c>
      <c r="AG72" s="1076">
        <v>21</v>
      </c>
      <c r="AH72" s="1076">
        <v>21</v>
      </c>
      <c r="AI72" s="1076">
        <v>21</v>
      </c>
      <c r="AJ72" s="1076">
        <v>21</v>
      </c>
      <c r="AK72" s="1076">
        <v>21</v>
      </c>
      <c r="AL72" s="1076">
        <v>11</v>
      </c>
      <c r="AM72" s="1076">
        <v>3</v>
      </c>
      <c r="AN72" s="1076">
        <v>11</v>
      </c>
      <c r="AO72" s="1076">
        <v>8</v>
      </c>
      <c r="AP72" s="1076">
        <v>4</v>
      </c>
      <c r="AQ72" s="1076">
        <v>115</v>
      </c>
      <c r="AR72" s="449">
        <v>10</v>
      </c>
      <c r="AS72" s="449">
        <v>10</v>
      </c>
      <c r="AT72" s="449">
        <v>10</v>
      </c>
      <c r="AU72" s="449">
        <v>10</v>
      </c>
      <c r="AV72" s="449">
        <v>10</v>
      </c>
      <c r="AW72" s="1076">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0" sqref="F30"/>
    </sheetView>
  </sheetViews>
  <sheetFormatPr defaultColWidth="9.140625" defaultRowHeight="11.25" customHeight="1"/>
  <cols>
    <col min="1" max="1" width="10.7109375" style="4269" hidden="1" customWidth="1"/>
    <col min="2" max="2" width="10.7109375" style="4270" hidden="1" customWidth="1"/>
    <col min="3" max="3" width="3" style="4271" customWidth="1"/>
    <col min="4" max="4" width="1" style="4267" customWidth="1"/>
    <col min="5" max="6" width="55" style="4267" customWidth="1"/>
    <col min="7" max="7" width="1" style="4272" customWidth="1"/>
    <col min="8" max="8" width="18" style="4267" hidden="1" customWidth="1"/>
    <col min="9" max="9" width="59" style="4273" customWidth="1"/>
    <col min="10" max="10" width="52.140625" style="4274" hidden="1" customWidth="1"/>
    <col min="11" max="11" width="8" style="4267" customWidth="1"/>
    <col min="12" max="12" width="77" style="4267" customWidth="1"/>
    <col min="13" max="16" width="8" style="4267" customWidth="1"/>
    <col min="17" max="17" width="12" style="4267" hidden="1" customWidth="1"/>
  </cols>
  <sheetData>
    <row r="1" spans="1:17" s="4264" customFormat="1" ht="3" customHeight="1">
      <c r="A1" s="715"/>
      <c r="B1" s="179"/>
      <c r="F1" s="180" t="s">
        <v>13</v>
      </c>
      <c r="G1" s="349"/>
      <c r="H1" s="12"/>
      <c r="I1" s="349"/>
      <c r="J1" s="799"/>
      <c r="Q1" s="180" t="s">
        <v>14</v>
      </c>
    </row>
    <row r="2" spans="1:17" s="4265" customFormat="1" ht="14.25" customHeight="1">
      <c r="A2" s="715"/>
      <c r="B2" s="39"/>
      <c r="E2" s="1660" t="str">
        <f>code</f>
        <v>Код отчёта: PP108.OPEN.INFO.REQUEST.VOTV.EIAS</v>
      </c>
      <c r="F2" s="207"/>
      <c r="G2" s="183"/>
      <c r="H2" s="183"/>
      <c r="I2" s="183"/>
      <c r="J2" s="800"/>
      <c r="K2" s="183"/>
      <c r="Q2" s="12">
        <v>14</v>
      </c>
    </row>
    <row r="3" spans="1:17" ht="14.65" customHeight="1">
      <c r="E3" s="184" t="str">
        <f>version</f>
        <v>Версия отчёта: 1.1.1</v>
      </c>
      <c r="F3" s="207"/>
      <c r="G3" s="703"/>
      <c r="H3" s="703"/>
      <c r="I3" s="703"/>
      <c r="J3" s="801"/>
      <c r="K3" s="29"/>
      <c r="Q3" s="15">
        <v>14</v>
      </c>
    </row>
    <row r="4" spans="1:17" s="4266" customFormat="1" ht="6.4" customHeight="1">
      <c r="A4" s="716"/>
      <c r="B4" s="170"/>
      <c r="C4" s="171"/>
      <c r="D4" s="172"/>
      <c r="E4" s="181"/>
      <c r="F4" s="182"/>
      <c r="G4" s="704"/>
      <c r="H4" s="347"/>
      <c r="I4" s="349"/>
      <c r="J4" s="802"/>
      <c r="Q4" s="174">
        <v>6</v>
      </c>
    </row>
    <row r="5" spans="1:17" ht="39.75" customHeight="1">
      <c r="D5" s="16"/>
      <c r="E5" s="5308"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5309"/>
      <c r="G5" s="705"/>
      <c r="J5" s="803"/>
      <c r="Q5" s="15">
        <v>38</v>
      </c>
    </row>
    <row r="6" spans="1:17" s="4266" customFormat="1" ht="6.4" customHeight="1">
      <c r="A6" s="716"/>
      <c r="B6" s="170"/>
      <c r="C6" s="171"/>
      <c r="D6" s="172"/>
      <c r="E6" s="175"/>
      <c r="F6" s="176"/>
      <c r="G6" s="705"/>
      <c r="H6" s="347"/>
      <c r="I6" s="349"/>
      <c r="J6" s="802"/>
      <c r="Q6" s="174">
        <v>6</v>
      </c>
    </row>
    <row r="7" spans="1:17" ht="21" customHeight="1">
      <c r="D7" s="16"/>
      <c r="E7" s="329" t="s">
        <v>15</v>
      </c>
      <c r="F7" s="153" t="s">
        <v>16</v>
      </c>
      <c r="G7" s="705"/>
      <c r="Q7" s="15">
        <v>20</v>
      </c>
    </row>
    <row r="8" spans="1:17" s="4266" customFormat="1" ht="6.4" customHeight="1">
      <c r="A8" s="717"/>
      <c r="B8" s="170"/>
      <c r="C8" s="171"/>
      <c r="D8" s="177"/>
      <c r="E8" s="175"/>
      <c r="F8" s="178"/>
      <c r="G8" s="18"/>
      <c r="H8" s="347"/>
      <c r="I8" s="349"/>
      <c r="J8" s="805"/>
      <c r="Q8" s="174">
        <v>6</v>
      </c>
    </row>
    <row r="9" spans="1:17" s="4267" customFormat="1" ht="19.5" hidden="1" customHeight="1">
      <c r="A9" s="716"/>
      <c r="B9" s="39"/>
      <c r="C9" s="346"/>
      <c r="D9" s="348"/>
      <c r="E9" s="1086" t="s">
        <v>17</v>
      </c>
      <c r="F9" s="1839"/>
      <c r="G9" s="705"/>
      <c r="I9" s="1818" t="str">
        <f>IF(TITLE_STRUCTURE_INFO_ROIV="","","раскрывается "&amp;INDEX(ROIV_INFO_COMMENT,MATCH(TITLE_STRUCTURE_INFO_ROIV,ROIV_INFO_LIST,0)))</f>
        <v/>
      </c>
      <c r="J9" s="804"/>
      <c r="Q9" s="347">
        <v>0</v>
      </c>
    </row>
    <row r="10" spans="1:17" s="4266" customFormat="1" ht="24" hidden="1" customHeight="1">
      <c r="A10" s="717"/>
      <c r="B10" s="364"/>
      <c r="C10" s="365"/>
      <c r="D10" s="177"/>
      <c r="E10" s="1086" t="s">
        <v>18</v>
      </c>
      <c r="F10" s="1981" t="s">
        <v>19</v>
      </c>
      <c r="G10" s="18"/>
      <c r="H10" s="347"/>
      <c r="I10" s="349"/>
      <c r="J10" s="805"/>
      <c r="Q10" s="368">
        <v>24</v>
      </c>
    </row>
    <row r="11" spans="1:17" ht="22.5" customHeight="1">
      <c r="A11" s="5311" t="s">
        <v>20</v>
      </c>
      <c r="D11" s="16"/>
      <c r="E11" s="1086" t="s">
        <v>21</v>
      </c>
      <c r="F11" s="2004">
        <v>45658.540844907409</v>
      </c>
      <c r="G11" s="18"/>
      <c r="H11" s="706" t="s">
        <v>22</v>
      </c>
      <c r="J11" s="804" t="s">
        <v>23</v>
      </c>
      <c r="Q11" s="15">
        <v>0</v>
      </c>
    </row>
    <row r="12" spans="1:17" ht="22.5" customHeight="1">
      <c r="A12" s="5311"/>
      <c r="D12" s="16"/>
      <c r="E12" s="1086" t="s">
        <v>24</v>
      </c>
      <c r="F12" s="2004">
        <v>47118.540983796294</v>
      </c>
      <c r="G12" s="14"/>
      <c r="J12" s="804" t="s">
        <v>25</v>
      </c>
      <c r="Q12" s="15">
        <v>0</v>
      </c>
    </row>
    <row r="13" spans="1:17" s="4267" customFormat="1" ht="22.5" hidden="1" customHeight="1">
      <c r="A13" s="720" t="s">
        <v>26</v>
      </c>
      <c r="B13" s="39"/>
      <c r="C13" s="346"/>
      <c r="D13" s="348"/>
      <c r="E13" s="1695" t="s">
        <v>27</v>
      </c>
      <c r="F13" s="1652" t="s">
        <v>28</v>
      </c>
      <c r="G13" s="18"/>
      <c r="H13" s="703"/>
      <c r="I13" s="349"/>
      <c r="J13" s="1696" t="s">
        <v>29</v>
      </c>
      <c r="Q13" s="347">
        <v>0</v>
      </c>
    </row>
    <row r="14" spans="1:17" s="4267" customFormat="1" ht="27" hidden="1" customHeight="1">
      <c r="A14" s="720" t="s">
        <v>30</v>
      </c>
      <c r="B14" s="39"/>
      <c r="C14" s="346"/>
      <c r="D14" s="348"/>
      <c r="E14" s="1086" t="s">
        <v>31</v>
      </c>
      <c r="F14" s="1687"/>
      <c r="G14" s="18"/>
      <c r="H14" s="703"/>
      <c r="I14" s="349"/>
      <c r="J14" s="804" t="s">
        <v>32</v>
      </c>
      <c r="Q14" s="347">
        <v>0</v>
      </c>
    </row>
    <row r="15" spans="1:17" s="4267" customFormat="1" ht="19.5" hidden="1" customHeight="1">
      <c r="A15" s="720" t="s">
        <v>33</v>
      </c>
      <c r="B15" s="39"/>
      <c r="C15" s="346"/>
      <c r="D15" s="348"/>
      <c r="E15" s="1086" t="s">
        <v>34</v>
      </c>
      <c r="F15" s="1687"/>
      <c r="G15" s="18"/>
      <c r="H15" s="703"/>
      <c r="I15" s="349"/>
      <c r="J15" s="804" t="s">
        <v>35</v>
      </c>
      <c r="Q15" s="347">
        <v>0</v>
      </c>
    </row>
    <row r="16" spans="1:17" s="4266" customFormat="1" ht="6.4" customHeight="1">
      <c r="A16" s="717"/>
      <c r="B16" s="170"/>
      <c r="C16" s="171"/>
      <c r="D16" s="177"/>
      <c r="E16" s="175"/>
      <c r="F16" s="178"/>
      <c r="G16" s="18"/>
      <c r="H16" s="347"/>
      <c r="I16" s="349"/>
      <c r="J16" s="802"/>
      <c r="Q16" s="174">
        <v>6</v>
      </c>
    </row>
    <row r="17" spans="1:17" ht="21" customHeight="1">
      <c r="D17" s="16"/>
      <c r="E17" s="329" t="s">
        <v>36</v>
      </c>
      <c r="F17" s="2005" t="s">
        <v>37</v>
      </c>
      <c r="G17" s="14"/>
      <c r="H17" s="706" t="s">
        <v>22</v>
      </c>
      <c r="Q17" s="15">
        <v>20</v>
      </c>
    </row>
    <row r="18" spans="1:17" ht="25.5" customHeight="1">
      <c r="D18" s="16"/>
      <c r="E18" s="1695" t="s">
        <v>38</v>
      </c>
      <c r="F18" s="2006">
        <v>45408.541273148148</v>
      </c>
      <c r="G18" s="14"/>
      <c r="I18" s="707"/>
      <c r="J18" s="5310" t="s">
        <v>39</v>
      </c>
      <c r="Q18" s="15">
        <v>0</v>
      </c>
    </row>
    <row r="19" spans="1:17" ht="25.5" customHeight="1">
      <c r="D19" s="16"/>
      <c r="E19" s="108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06">
        <v>45658.602175925924</v>
      </c>
      <c r="G19" s="14"/>
      <c r="I19" s="707"/>
      <c r="J19" s="5310"/>
      <c r="Q19" s="15">
        <v>0</v>
      </c>
    </row>
    <row r="20" spans="1:17" ht="22.5" customHeight="1">
      <c r="D20" s="16"/>
      <c r="E20" s="17"/>
      <c r="F20" s="208" t="str">
        <f>"Первичное "&amp;IF(TEMPLATE_GROUP="P","установление тарифов","предложение по тарифам")</f>
        <v>Первичное предложение по тарифам</v>
      </c>
      <c r="G20" s="14"/>
      <c r="I20" s="332"/>
      <c r="J20" s="803" t="s">
        <v>40</v>
      </c>
      <c r="Q20" s="15">
        <v>0</v>
      </c>
    </row>
    <row r="21" spans="1:17" ht="19.5" customHeight="1">
      <c r="D21" s="16"/>
      <c r="E21" s="329" t="str">
        <f>"Дата "&amp;IF(TEMPLATE_GROUP="P","документа","подачи заявления")&amp;" об утверждении тарифов"</f>
        <v>Дата подачи заявления об утверждении тарифов</v>
      </c>
      <c r="F21" s="2004">
        <v>45044.602534722224</v>
      </c>
      <c r="G21" s="14"/>
      <c r="I21" s="708"/>
      <c r="Q21" s="15">
        <v>0</v>
      </c>
    </row>
    <row r="22" spans="1:17" ht="19.5" customHeight="1">
      <c r="D22" s="16"/>
      <c r="E22" s="329" t="str">
        <f>"Номер "&amp;IF(TEMPLATE_GROUP="P","документа","подачи заявления")&amp;" об утверждении тарифов"</f>
        <v>Номер подачи заявления об утверждении тарифов</v>
      </c>
      <c r="F22" s="154" t="s">
        <v>41</v>
      </c>
      <c r="G22" s="14"/>
      <c r="I22" s="708"/>
      <c r="Q22" s="15">
        <v>0</v>
      </c>
    </row>
    <row r="23" spans="1:17" ht="22.5" hidden="1" customHeight="1">
      <c r="D23" s="16"/>
      <c r="E23" s="329" t="s">
        <v>42</v>
      </c>
      <c r="F23" s="154"/>
      <c r="G23" s="14"/>
      <c r="Q23" s="15">
        <v>0</v>
      </c>
    </row>
    <row r="24" spans="1:17" ht="19.5" hidden="1" customHeight="1">
      <c r="D24" s="16"/>
      <c r="E24" s="329" t="s">
        <v>43</v>
      </c>
      <c r="F24" s="154"/>
      <c r="G24" s="14"/>
      <c r="Q24" s="15">
        <v>0</v>
      </c>
    </row>
    <row r="25" spans="1:17" ht="22.5" customHeight="1">
      <c r="D25" s="16"/>
      <c r="E25" s="17"/>
      <c r="F25" s="208" t="str">
        <f>"Изменение "&amp;IF(TEMPLATE_GROUP="P","тарифов","предложения по тарифам")</f>
        <v>Изменение предложения по тарифам</v>
      </c>
      <c r="G25" s="14"/>
      <c r="J25" s="803" t="s">
        <v>44</v>
      </c>
      <c r="Q25" s="15">
        <v>0</v>
      </c>
    </row>
    <row r="26" spans="1:17" ht="19.5" customHeight="1">
      <c r="D26" s="16"/>
      <c r="E26" s="329" t="str">
        <f>"Дата "&amp;IF(TEMPLATE_GROUP="P","принятия решения","подачи заявления")&amp;" об изменении тарифов"</f>
        <v>Дата подачи заявления об изменении тарифов</v>
      </c>
      <c r="F26" s="4268">
        <v>45649.605891203704</v>
      </c>
      <c r="G26" s="14"/>
      <c r="Q26" s="15">
        <v>0</v>
      </c>
    </row>
    <row r="27" spans="1:17" ht="19.5" customHeight="1">
      <c r="D27" s="16"/>
      <c r="E27" s="1086" t="str">
        <f>"Номер "&amp;IF(TEMPLATE_GROUP="P","принятия решения","заявления")&amp;" об изменении тарифов"</f>
        <v>Номер заявления об изменении тарифов</v>
      </c>
      <c r="F27" s="2007" t="s">
        <v>45</v>
      </c>
      <c r="G27" s="14"/>
      <c r="Q27" s="15">
        <v>0</v>
      </c>
    </row>
    <row r="28" spans="1:17" ht="24.75" hidden="1" customHeight="1">
      <c r="D28" s="16"/>
      <c r="E28" s="329" t="s">
        <v>46</v>
      </c>
      <c r="F28" s="156"/>
      <c r="G28" s="14"/>
      <c r="Q28" s="15">
        <v>0</v>
      </c>
    </row>
    <row r="29" spans="1:17" ht="19.5" hidden="1" customHeight="1">
      <c r="D29" s="16"/>
      <c r="E29" s="329" t="s">
        <v>43</v>
      </c>
      <c r="F29" s="156"/>
      <c r="G29" s="14"/>
      <c r="Q29" s="15">
        <v>0</v>
      </c>
    </row>
    <row r="30" spans="1:17" s="4266" customFormat="1" ht="6.4" customHeight="1">
      <c r="A30" s="717"/>
      <c r="B30" s="170"/>
      <c r="C30" s="171"/>
      <c r="D30" s="177"/>
      <c r="E30" s="175"/>
      <c r="F30" s="178"/>
      <c r="G30" s="18"/>
      <c r="H30" s="347"/>
      <c r="I30" s="349"/>
      <c r="J30" s="802"/>
      <c r="Q30" s="174">
        <v>6</v>
      </c>
    </row>
    <row r="31" spans="1:17" ht="21" customHeight="1">
      <c r="C31" s="19"/>
      <c r="D31" s="20"/>
      <c r="E31" s="329" t="str">
        <f>"Наименование "&amp;IF(TEMPLATE_GROUP="ROIV","органа тарифного регулирования","ЮЛ / ИП")</f>
        <v>Наименование ЮЛ / ИП</v>
      </c>
      <c r="F31" s="155" t="s">
        <v>47</v>
      </c>
      <c r="G31" s="709"/>
      <c r="Q31" s="15">
        <v>20</v>
      </c>
    </row>
    <row r="32" spans="1:17" ht="21" hidden="1" customHeight="1">
      <c r="C32" s="19"/>
      <c r="D32" s="20"/>
      <c r="E32" s="330" t="s">
        <v>48</v>
      </c>
      <c r="F32" s="155"/>
      <c r="G32" s="709"/>
      <c r="Q32" s="15">
        <v>20</v>
      </c>
    </row>
    <row r="33" spans="1:17" ht="21" customHeight="1">
      <c r="C33" s="19"/>
      <c r="D33" s="20"/>
      <c r="E33" s="329" t="s">
        <v>49</v>
      </c>
      <c r="F33" s="155" t="s">
        <v>50</v>
      </c>
      <c r="G33" s="709"/>
      <c r="Q33" s="15">
        <v>20</v>
      </c>
    </row>
    <row r="34" spans="1:17" ht="21" customHeight="1">
      <c r="C34" s="19"/>
      <c r="D34" s="20"/>
      <c r="E34" s="329" t="s">
        <v>51</v>
      </c>
      <c r="F34" s="155" t="s">
        <v>52</v>
      </c>
      <c r="G34" s="709"/>
      <c r="H34" s="21"/>
      <c r="Q34" s="15">
        <v>20</v>
      </c>
    </row>
    <row r="35" spans="1:17" s="4266" customFormat="1" ht="11.45" customHeight="1">
      <c r="A35" s="717"/>
      <c r="B35" s="170"/>
      <c r="C35" s="171"/>
      <c r="D35" s="177"/>
      <c r="E35" s="175"/>
      <c r="F35" s="178"/>
      <c r="G35" s="18"/>
      <c r="H35" s="347"/>
      <c r="I35" s="349"/>
      <c r="J35" s="802"/>
      <c r="Q35" s="174">
        <v>11</v>
      </c>
    </row>
    <row r="36" spans="1:17" ht="19.5" hidden="1" customHeight="1">
      <c r="A36" s="807"/>
      <c r="D36" s="20"/>
      <c r="E36" s="329" t="s">
        <v>53</v>
      </c>
      <c r="F36" s="286"/>
      <c r="G36" s="18"/>
      <c r="Q36" s="15">
        <v>0</v>
      </c>
    </row>
    <row r="37" spans="1:17" ht="21" customHeight="1">
      <c r="A37" s="807"/>
      <c r="D37" s="20"/>
      <c r="E37" s="329" t="s">
        <v>54</v>
      </c>
      <c r="F37" s="2008" t="s">
        <v>55</v>
      </c>
      <c r="G37" s="18"/>
      <c r="Q37" s="15">
        <v>20</v>
      </c>
    </row>
    <row r="38" spans="1:17" s="4266" customFormat="1" ht="6.4" customHeight="1">
      <c r="A38" s="717"/>
      <c r="B38" s="170"/>
      <c r="C38" s="171"/>
      <c r="D38" s="172"/>
      <c r="E38" s="173"/>
      <c r="F38" s="978"/>
      <c r="G38" s="14"/>
      <c r="H38" s="347"/>
      <c r="I38" s="349"/>
      <c r="J38" s="804"/>
      <c r="Q38" s="174">
        <v>6</v>
      </c>
    </row>
    <row r="39" spans="1:17" ht="36.75" customHeight="1">
      <c r="A39" s="717"/>
      <c r="D39" s="16"/>
      <c r="E39" s="329" t="s">
        <v>56</v>
      </c>
      <c r="F39" s="648" t="s">
        <v>19</v>
      </c>
      <c r="G39" s="14"/>
      <c r="H39" s="706" t="s">
        <v>22</v>
      </c>
      <c r="Q39" s="15">
        <v>35</v>
      </c>
    </row>
    <row r="40" spans="1:17" s="4266" customFormat="1" ht="6" hidden="1" customHeight="1">
      <c r="A40" s="716"/>
      <c r="B40" s="364"/>
      <c r="C40" s="365"/>
      <c r="D40" s="366"/>
      <c r="E40" s="367"/>
      <c r="F40" s="978"/>
      <c r="G40" s="14"/>
      <c r="H40" s="347"/>
      <c r="I40" s="349"/>
      <c r="J40" s="804"/>
      <c r="Q40" s="368">
        <v>6</v>
      </c>
    </row>
    <row r="41" spans="1:17" s="4267"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4"/>
      <c r="I41" s="349"/>
      <c r="J41" s="804"/>
      <c r="Q41" s="347">
        <v>0</v>
      </c>
    </row>
    <row r="42" spans="1:17" s="4266" customFormat="1" ht="6" hidden="1" customHeight="1">
      <c r="A42" s="716"/>
      <c r="B42" s="364"/>
      <c r="C42" s="365"/>
      <c r="D42" s="366"/>
      <c r="E42" s="367"/>
      <c r="F42" s="978"/>
      <c r="G42" s="14"/>
      <c r="H42" s="347"/>
      <c r="I42" s="349"/>
      <c r="J42" s="802"/>
      <c r="Q42" s="368">
        <v>0</v>
      </c>
    </row>
    <row r="43" spans="1:17" s="4267" customFormat="1" ht="27" hidden="1" customHeight="1">
      <c r="A43" s="716"/>
      <c r="B43" s="351"/>
      <c r="C43" s="346"/>
      <c r="D43" s="348"/>
      <c r="E43" s="329" t="s">
        <v>57</v>
      </c>
      <c r="F43" s="648" t="s">
        <v>19</v>
      </c>
      <c r="G43" s="14"/>
      <c r="I43" s="349"/>
      <c r="J43" s="804"/>
      <c r="Q43" s="347">
        <v>0</v>
      </c>
    </row>
    <row r="44" spans="1:17" s="4267" customFormat="1" ht="27" hidden="1" customHeight="1">
      <c r="A44" s="716"/>
      <c r="B44" s="351"/>
      <c r="C44" s="346"/>
      <c r="D44" s="348"/>
      <c r="E44" s="1086" t="s">
        <v>58</v>
      </c>
      <c r="F44" s="1806"/>
      <c r="G44" s="14"/>
      <c r="I44" s="349"/>
      <c r="J44" s="804"/>
      <c r="Q44" s="347">
        <v>0</v>
      </c>
    </row>
    <row r="45" spans="1:17" s="4266" customFormat="1" ht="6" hidden="1" customHeight="1">
      <c r="A45" s="716"/>
      <c r="B45" s="364"/>
      <c r="C45" s="365"/>
      <c r="D45" s="366"/>
      <c r="E45" s="367"/>
      <c r="F45" s="978"/>
      <c r="G45" s="14"/>
      <c r="H45" s="347"/>
      <c r="I45" s="349"/>
      <c r="J45" s="804"/>
      <c r="Q45" s="368">
        <v>0</v>
      </c>
    </row>
    <row r="46" spans="1:17" s="4266" customFormat="1" ht="24.75" hidden="1" customHeight="1">
      <c r="A46" s="716"/>
      <c r="B46" s="364"/>
      <c r="C46" s="365"/>
      <c r="D46" s="366"/>
      <c r="E46" s="1086" t="s">
        <v>59</v>
      </c>
      <c r="F46" s="648" t="s">
        <v>19</v>
      </c>
      <c r="G46" s="14"/>
      <c r="H46" s="347"/>
      <c r="I46" s="349"/>
      <c r="J46" s="804"/>
      <c r="Q46" s="368">
        <v>0</v>
      </c>
    </row>
    <row r="47" spans="1:17" s="4267" customFormat="1" ht="24.75" hidden="1" customHeight="1">
      <c r="A47" s="716"/>
      <c r="B47" s="351"/>
      <c r="C47" s="346"/>
      <c r="D47" s="348"/>
      <c r="E47" s="1086" t="s">
        <v>60</v>
      </c>
      <c r="F47" s="648" t="s">
        <v>19</v>
      </c>
      <c r="G47" s="14"/>
      <c r="I47" s="349"/>
      <c r="J47" s="804"/>
      <c r="Q47" s="347">
        <v>0</v>
      </c>
    </row>
    <row r="48" spans="1:17" s="4266" customFormat="1" ht="6" hidden="1" customHeight="1">
      <c r="A48" s="716"/>
      <c r="B48" s="170"/>
      <c r="C48" s="171"/>
      <c r="D48" s="172"/>
      <c r="E48" s="173"/>
      <c r="F48" s="978"/>
      <c r="G48" s="14"/>
      <c r="H48" s="347"/>
      <c r="I48" s="349"/>
      <c r="J48" s="804"/>
      <c r="Q48" s="174">
        <v>0</v>
      </c>
    </row>
    <row r="49" spans="1:17" ht="29.25" hidden="1" customHeight="1">
      <c r="B49" s="87"/>
      <c r="D49" s="16"/>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4"/>
      <c r="Q49" s="15">
        <v>0</v>
      </c>
    </row>
    <row r="50" spans="1:17" s="4266" customFormat="1" ht="6" hidden="1" customHeight="1">
      <c r="A50" s="717"/>
      <c r="B50" s="364"/>
      <c r="C50" s="365"/>
      <c r="D50" s="177"/>
      <c r="E50" s="175"/>
      <c r="F50" s="178"/>
      <c r="G50" s="18"/>
      <c r="H50" s="347"/>
      <c r="I50" s="349"/>
      <c r="J50" s="804"/>
      <c r="Q50" s="368">
        <v>0</v>
      </c>
    </row>
    <row r="51" spans="1:17" s="4267" customFormat="1" ht="28.5" hidden="1" customHeight="1">
      <c r="A51" s="718"/>
      <c r="B51" s="351"/>
      <c r="C51" s="468"/>
      <c r="D51" s="469"/>
      <c r="E51" s="329" t="s">
        <v>61</v>
      </c>
      <c r="F51" s="648" t="s">
        <v>19</v>
      </c>
      <c r="G51" s="470"/>
      <c r="I51" s="472"/>
      <c r="J51" s="806"/>
      <c r="P51" s="473"/>
      <c r="Q51" s="471">
        <v>0</v>
      </c>
    </row>
    <row r="52" spans="1:17" s="4266" customFormat="1" ht="6" hidden="1" customHeight="1">
      <c r="A52" s="717"/>
      <c r="B52" s="364"/>
      <c r="C52" s="365"/>
      <c r="D52" s="177"/>
      <c r="E52" s="175"/>
      <c r="F52" s="178"/>
      <c r="G52" s="18"/>
      <c r="H52" s="347"/>
      <c r="I52" s="349"/>
      <c r="J52" s="802"/>
      <c r="Q52" s="368">
        <v>0</v>
      </c>
    </row>
    <row r="53" spans="1:17" s="4267" customFormat="1" ht="27" hidden="1" customHeight="1">
      <c r="A53" s="718"/>
      <c r="B53" s="351"/>
      <c r="C53" s="468"/>
      <c r="D53" s="469"/>
      <c r="E53" s="329" t="s">
        <v>62</v>
      </c>
      <c r="F53" s="973" t="s">
        <v>19</v>
      </c>
      <c r="G53" s="470"/>
      <c r="I53" s="472"/>
      <c r="J53" s="806"/>
      <c r="P53" s="473"/>
      <c r="Q53" s="471">
        <v>0</v>
      </c>
    </row>
    <row r="54" spans="1:17" s="4267" customFormat="1" ht="27" hidden="1" customHeight="1">
      <c r="A54" s="718"/>
      <c r="B54" s="351"/>
      <c r="C54" s="468"/>
      <c r="D54" s="469"/>
      <c r="E54" s="329" t="s">
        <v>63</v>
      </c>
      <c r="F54" s="1694"/>
      <c r="G54" s="470"/>
      <c r="I54" s="472"/>
      <c r="J54" s="806"/>
      <c r="P54" s="473"/>
      <c r="Q54" s="471">
        <v>0</v>
      </c>
    </row>
    <row r="55" spans="1:17" s="4266" customFormat="1" ht="6" hidden="1" customHeight="1">
      <c r="A55" s="717"/>
      <c r="B55" s="364"/>
      <c r="C55" s="365"/>
      <c r="D55" s="177"/>
      <c r="E55" s="175"/>
      <c r="F55" s="178"/>
      <c r="G55" s="18"/>
      <c r="H55" s="347"/>
      <c r="I55" s="349"/>
      <c r="J55" s="802"/>
      <c r="Q55" s="368">
        <v>0</v>
      </c>
    </row>
    <row r="56" spans="1:17" s="4267" customFormat="1" ht="25.5" hidden="1" customHeight="1">
      <c r="A56" s="718"/>
      <c r="B56" s="351"/>
      <c r="C56" s="468"/>
      <c r="D56" s="469"/>
      <c r="E56" s="329" t="s">
        <v>64</v>
      </c>
      <c r="F56" s="973" t="s">
        <v>19</v>
      </c>
      <c r="G56" s="470"/>
      <c r="I56" s="472"/>
      <c r="J56" s="806"/>
      <c r="P56" s="473"/>
      <c r="Q56" s="471">
        <v>0</v>
      </c>
    </row>
    <row r="57" spans="1:17" s="4266" customFormat="1" ht="6" hidden="1" customHeight="1">
      <c r="A57" s="717"/>
      <c r="B57" s="364"/>
      <c r="C57" s="365"/>
      <c r="D57" s="177"/>
      <c r="E57" s="175"/>
      <c r="F57" s="178"/>
      <c r="G57" s="18"/>
      <c r="H57" s="347"/>
      <c r="I57" s="349"/>
      <c r="J57" s="802"/>
      <c r="Q57" s="368">
        <v>0</v>
      </c>
    </row>
    <row r="58" spans="1:17" s="4267" customFormat="1" ht="15" hidden="1" customHeight="1">
      <c r="A58" s="718"/>
      <c r="B58" s="351"/>
      <c r="C58" s="468"/>
      <c r="D58" s="469"/>
      <c r="E58" s="329" t="s">
        <v>65</v>
      </c>
      <c r="F58" s="973" t="s">
        <v>66</v>
      </c>
      <c r="G58" s="470"/>
      <c r="I58" s="472"/>
      <c r="J58" s="806"/>
      <c r="P58" s="473"/>
      <c r="Q58" s="471">
        <v>0</v>
      </c>
    </row>
    <row r="59" spans="1:17" s="4267"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0"/>
      <c r="G59" s="470"/>
      <c r="I59" s="472"/>
      <c r="J59" s="806"/>
      <c r="P59" s="473"/>
      <c r="Q59" s="471">
        <v>0</v>
      </c>
    </row>
    <row r="60" spans="1:17" s="4267" customFormat="1" ht="15" hidden="1" customHeight="1">
      <c r="A60" s="718"/>
      <c r="B60" s="351"/>
      <c r="C60" s="468"/>
      <c r="D60" s="469"/>
      <c r="E60" s="1086" t="s">
        <v>67</v>
      </c>
      <c r="F60" s="1072"/>
      <c r="G60" s="470"/>
      <c r="I60" s="472"/>
      <c r="J60" s="806"/>
      <c r="P60" s="473"/>
      <c r="Q60" s="471">
        <v>0</v>
      </c>
    </row>
    <row r="61" spans="1:17" s="4266" customFormat="1" ht="6" hidden="1" customHeight="1">
      <c r="A61" s="717"/>
      <c r="B61" s="364"/>
      <c r="C61" s="365"/>
      <c r="D61" s="366"/>
      <c r="E61" s="367"/>
      <c r="F61" s="978"/>
      <c r="G61" s="14"/>
      <c r="H61" s="347"/>
      <c r="I61" s="349"/>
      <c r="J61" s="804"/>
      <c r="Q61" s="368">
        <v>0</v>
      </c>
    </row>
    <row r="62" spans="1:17" s="4267" customFormat="1" ht="33.75" hidden="1" customHeight="1">
      <c r="A62" s="717"/>
      <c r="B62" s="39"/>
      <c r="C62" s="346"/>
      <c r="D62" s="348"/>
      <c r="E62" s="1086" t="s">
        <v>68</v>
      </c>
      <c r="F62" s="1592" t="s">
        <v>66</v>
      </c>
      <c r="G62" s="14"/>
      <c r="H62" s="706" t="s">
        <v>22</v>
      </c>
      <c r="I62" s="349"/>
      <c r="J62" s="804"/>
      <c r="Q62" s="347">
        <v>0</v>
      </c>
    </row>
    <row r="63" spans="1:17" s="4266" customFormat="1" ht="6.4" customHeight="1">
      <c r="A63" s="717"/>
      <c r="B63" s="170"/>
      <c r="C63" s="171"/>
      <c r="D63" s="177"/>
      <c r="E63" s="175"/>
      <c r="F63" s="178"/>
      <c r="G63" s="18"/>
      <c r="H63" s="347"/>
      <c r="I63" s="349"/>
      <c r="J63" s="802"/>
      <c r="Q63" s="174">
        <v>6</v>
      </c>
    </row>
    <row r="64" spans="1:17" ht="21" customHeight="1">
      <c r="A64" s="719"/>
      <c r="B64" s="40"/>
      <c r="D64" s="23"/>
      <c r="E64" s="329" t="s">
        <v>69</v>
      </c>
      <c r="F64" s="154" t="s">
        <v>70</v>
      </c>
      <c r="G64" s="18"/>
      <c r="Q64" s="15">
        <v>20</v>
      </c>
    </row>
    <row r="65" spans="1:17" ht="21" customHeight="1">
      <c r="A65" s="719"/>
      <c r="B65" s="40"/>
      <c r="D65" s="23"/>
      <c r="E65" s="329" t="s">
        <v>71</v>
      </c>
      <c r="F65" s="154" t="s">
        <v>72</v>
      </c>
      <c r="G65" s="18"/>
      <c r="Q65" s="15">
        <v>20</v>
      </c>
    </row>
    <row r="66" spans="1:17" ht="36.75" customHeight="1">
      <c r="D66" s="16"/>
      <c r="E66" s="331" t="s">
        <v>73</v>
      </c>
      <c r="F66" s="979"/>
      <c r="G66" s="14"/>
      <c r="Q66" s="15">
        <v>35</v>
      </c>
    </row>
    <row r="67" spans="1:17" ht="21" customHeight="1">
      <c r="A67" s="719"/>
      <c r="D67" s="348"/>
      <c r="E67" s="329" t="s">
        <v>74</v>
      </c>
      <c r="F67" s="209" t="s">
        <v>75</v>
      </c>
      <c r="G67" s="18"/>
      <c r="Q67" s="15">
        <v>20</v>
      </c>
    </row>
    <row r="68" spans="1:17" ht="21" customHeight="1">
      <c r="A68" s="719"/>
      <c r="B68" s="40"/>
      <c r="D68" s="23"/>
      <c r="E68" s="329" t="s">
        <v>76</v>
      </c>
      <c r="F68" s="209" t="s">
        <v>77</v>
      </c>
      <c r="G68" s="18"/>
      <c r="Q68" s="15">
        <v>20</v>
      </c>
    </row>
    <row r="69" spans="1:17" ht="21" customHeight="1">
      <c r="A69" s="719"/>
      <c r="B69" s="40"/>
      <c r="D69" s="23"/>
      <c r="E69" s="329" t="s">
        <v>78</v>
      </c>
      <c r="F69" s="209" t="s">
        <v>79</v>
      </c>
      <c r="G69" s="18"/>
      <c r="Q69" s="15">
        <v>20</v>
      </c>
    </row>
    <row r="70" spans="1:17" ht="21" customHeight="1">
      <c r="D70" s="348"/>
      <c r="E70" s="329" t="s">
        <v>80</v>
      </c>
      <c r="F70" s="2009" t="s">
        <v>81</v>
      </c>
      <c r="G70" s="14"/>
      <c r="Q70" s="15">
        <v>20</v>
      </c>
    </row>
    <row r="71" spans="1:17" ht="21" customHeight="1">
      <c r="A71" s="719"/>
      <c r="D71" s="14"/>
      <c r="F71" s="73"/>
      <c r="G71" s="18"/>
      <c r="Q71" s="15">
        <v>20</v>
      </c>
    </row>
    <row r="72" spans="1:17" ht="21" customHeight="1">
      <c r="A72" s="719"/>
      <c r="B72" s="40"/>
      <c r="D72" s="23"/>
      <c r="E72" s="22"/>
      <c r="F72" s="958" t="s">
        <v>13</v>
      </c>
      <c r="G72" s="18"/>
      <c r="Q72" s="15">
        <v>20</v>
      </c>
    </row>
    <row r="73" spans="1:17" ht="21" customHeight="1">
      <c r="A73" s="719"/>
      <c r="B73" s="40"/>
      <c r="D73" s="23"/>
      <c r="E73" s="22"/>
      <c r="F73" s="74"/>
      <c r="G73" s="18"/>
      <c r="Q73" s="15">
        <v>20</v>
      </c>
    </row>
    <row r="74" spans="1:17" ht="21" customHeight="1">
      <c r="A74" s="719"/>
      <c r="B74" s="40"/>
      <c r="D74" s="23"/>
      <c r="E74" s="27"/>
      <c r="F74" s="74"/>
      <c r="G74" s="18"/>
      <c r="Q74" s="15">
        <v>20</v>
      </c>
    </row>
    <row r="75" spans="1:17" ht="21" customHeight="1">
      <c r="A75" s="719"/>
      <c r="B75" s="40"/>
      <c r="D75" s="23"/>
      <c r="E75" s="22"/>
      <c r="F75" s="74"/>
      <c r="G75" s="18"/>
      <c r="Q75" s="15">
        <v>20</v>
      </c>
    </row>
    <row r="76" spans="1:17" ht="11.45" customHeight="1">
      <c r="Q76" s="15">
        <v>11</v>
      </c>
    </row>
    <row r="77" spans="1:17" ht="11.45" customHeight="1">
      <c r="Q77" s="15">
        <v>11</v>
      </c>
    </row>
    <row r="78" spans="1:17" ht="11.45" customHeight="1">
      <c r="E78" s="328"/>
      <c r="F78" s="328"/>
      <c r="G78" s="328"/>
      <c r="H78" s="328"/>
      <c r="I78" s="328"/>
      <c r="Q78" s="15">
        <v>11</v>
      </c>
    </row>
    <row r="79" spans="1:17" ht="11.25" hidden="1" customHeight="1">
      <c r="A79" s="716" t="s">
        <v>82</v>
      </c>
      <c r="B79" s="39">
        <v>0</v>
      </c>
      <c r="C79" s="13">
        <v>3</v>
      </c>
      <c r="D79" s="15">
        <v>1</v>
      </c>
      <c r="E79" s="15">
        <v>55</v>
      </c>
      <c r="F79" s="15">
        <v>54</v>
      </c>
      <c r="G79" s="704">
        <v>1</v>
      </c>
      <c r="H79" s="347">
        <v>0</v>
      </c>
      <c r="I79" s="349">
        <v>59</v>
      </c>
      <c r="J79" s="804">
        <v>0</v>
      </c>
      <c r="K79" s="15">
        <v>8</v>
      </c>
      <c r="L79" s="15">
        <v>77</v>
      </c>
      <c r="M79" s="15">
        <v>8</v>
      </c>
      <c r="N79" s="15">
        <v>8</v>
      </c>
      <c r="O79" s="15">
        <v>8</v>
      </c>
      <c r="P79" s="15">
        <v>8</v>
      </c>
      <c r="Q79" s="15">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 style="4301" customWidth="1"/>
    <col min="17" max="17" width="3" style="4306" customWidth="1"/>
    <col min="18" max="18" width="3" style="4303" customWidth="1"/>
    <col min="19" max="19" width="12" style="4304" customWidth="1"/>
    <col min="20" max="20" width="31" style="4267" customWidth="1"/>
    <col min="21" max="21" width="0.140625" style="4267" customWidth="1"/>
    <col min="22" max="23" width="21.7109375" style="4267" hidden="1" customWidth="1"/>
    <col min="24" max="24" width="11.7109375" style="4267" hidden="1" customWidth="1"/>
    <col min="25" max="25" width="3.7109375" style="4267" hidden="1" customWidth="1"/>
    <col min="26" max="26" width="11.7109375" style="4267" hidden="1" customWidth="1"/>
    <col min="27" max="27" width="8.5703125" style="4267" hidden="1" customWidth="1"/>
    <col min="28" max="28" width="5.42578125" style="4267" customWidth="1"/>
    <col min="29" max="30" width="3" style="4267" customWidth="1"/>
    <col min="31" max="31" width="24" style="4267" customWidth="1"/>
    <col min="32" max="32" width="3.7109375" style="4267" customWidth="1"/>
    <col min="33" max="34" width="3" style="4267" customWidth="1"/>
    <col min="35" max="35" width="24" style="4267" customWidth="1"/>
    <col min="36" max="36" width="3.7109375" style="4267" customWidth="1"/>
    <col min="37" max="38" width="3" style="4267" customWidth="1"/>
    <col min="39" max="39" width="18" style="4267" customWidth="1"/>
    <col min="40" max="41" width="21" style="4267" customWidth="1"/>
    <col min="42" max="42" width="11" style="4267" customWidth="1"/>
    <col min="43" max="43" width="3.7109375" style="4267" customWidth="1"/>
    <col min="44" max="44" width="11" style="4267" customWidth="1"/>
    <col min="45" max="45" width="8.5703125" style="4267" hidden="1" customWidth="1"/>
    <col min="46" max="46" width="4" style="4267" customWidth="1"/>
    <col min="47" max="47" width="115" style="4267" customWidth="1"/>
    <col min="48" max="52" width="10" style="4275" customWidth="1"/>
    <col min="53" max="53" width="10.5703125" style="4267" hidden="1"/>
  </cols>
  <sheetData>
    <row r="1" spans="1:53" ht="22.5" hidden="1" customHeight="1">
      <c r="W1" s="265"/>
      <c r="X1" s="265"/>
      <c r="AO1" s="265"/>
      <c r="AP1" s="265"/>
      <c r="BA1" s="1076" t="s">
        <v>14</v>
      </c>
    </row>
    <row r="2" spans="1:53" ht="21" hidden="1" customHeight="1">
      <c r="A2" s="1284"/>
      <c r="B2" s="1284"/>
      <c r="C2" s="1284"/>
      <c r="D2" s="1284"/>
      <c r="E2" s="5469">
        <v>1</v>
      </c>
      <c r="F2" s="1284"/>
      <c r="G2" s="1284"/>
      <c r="H2" s="1284"/>
      <c r="I2" s="1284"/>
      <c r="J2" s="1284"/>
      <c r="K2" s="1284"/>
      <c r="L2" s="1285"/>
      <c r="M2" s="1286"/>
      <c r="N2" s="1286"/>
      <c r="O2" s="1286"/>
      <c r="P2" s="1330"/>
      <c r="Q2" s="801"/>
      <c r="R2" s="293"/>
      <c r="S2" s="1257" t="e">
        <f>INDEX(PT_DIFFERENTIATION_NUM_NTAR,MATCH(A2,PT_DIFFERENTIATION_NTAR_ID,0))</f>
        <v>#N/A</v>
      </c>
      <c r="T2" s="236" t="s">
        <v>155</v>
      </c>
      <c r="U2" s="238"/>
      <c r="V2" s="5464"/>
      <c r="W2" s="5464"/>
      <c r="X2" s="5464"/>
      <c r="Y2" s="5464"/>
      <c r="Z2" s="5464"/>
      <c r="AA2" s="5465"/>
      <c r="AB2" s="5463" t="e">
        <f>INDEX(PT_DIFFERENTIATION_NTAR,MATCH(A2,PT_DIFFERENTIATION_NTAR_ID,0))</f>
        <v>#N/A</v>
      </c>
      <c r="AC2" s="5464"/>
      <c r="AD2" s="5464"/>
      <c r="AE2" s="5464"/>
      <c r="AF2" s="5464"/>
      <c r="AG2" s="5464"/>
      <c r="AH2" s="5464"/>
      <c r="AI2" s="5464"/>
      <c r="AJ2" s="5464"/>
      <c r="AK2" s="5464"/>
      <c r="AL2" s="5464"/>
      <c r="AM2" s="5464"/>
      <c r="AN2" s="5464"/>
      <c r="AO2" s="5464"/>
      <c r="AP2" s="5464"/>
      <c r="AQ2" s="5464"/>
      <c r="AR2" s="5464"/>
      <c r="AS2" s="5464"/>
      <c r="AT2" s="5465"/>
      <c r="AU2" s="1179" t="s">
        <v>489</v>
      </c>
      <c r="AW2" s="438"/>
      <c r="AX2" s="438" t="str">
        <f t="shared" ref="AX2:AX8" si="0">IF(T2="","",T2)</f>
        <v>Наименование тарифа</v>
      </c>
      <c r="AY2" s="438"/>
      <c r="AZ2" s="438"/>
      <c r="BA2" s="1076">
        <v>0</v>
      </c>
    </row>
    <row r="3" spans="1:53" ht="21" hidden="1" customHeight="1">
      <c r="A3" s="1284"/>
      <c r="B3" s="1284"/>
      <c r="C3" s="1284"/>
      <c r="D3" s="1284"/>
      <c r="E3" s="5470"/>
      <c r="F3" s="5469">
        <v>1</v>
      </c>
      <c r="G3" s="1284"/>
      <c r="H3" s="1284"/>
      <c r="I3" s="1284"/>
      <c r="J3" s="1284"/>
      <c r="K3" s="1284"/>
      <c r="L3" s="1285"/>
      <c r="M3" s="1286"/>
      <c r="N3" s="1286"/>
      <c r="O3" s="1286"/>
      <c r="P3" s="1331"/>
      <c r="Q3" s="1332"/>
      <c r="R3" s="291"/>
      <c r="S3" s="1257" t="e">
        <f>INDEX(PT_DIFFERENTIATION_NUM_TER,MATCH(B3,PT_DIFFERENTIATION_TER_ID,0))</f>
        <v>#N/A</v>
      </c>
      <c r="T3" s="246" t="s">
        <v>490</v>
      </c>
      <c r="U3" s="238"/>
      <c r="V3" s="5464"/>
      <c r="W3" s="5464"/>
      <c r="X3" s="5464"/>
      <c r="Y3" s="5464"/>
      <c r="Z3" s="5464"/>
      <c r="AA3" s="5465"/>
      <c r="AB3" s="5463" t="e">
        <f>INDEX(PT_DIFFERENTIATION_TER,MATCH(B3,PT_DIFFERENTIATION_TER_ID,0))</f>
        <v>#N/A</v>
      </c>
      <c r="AC3" s="5464"/>
      <c r="AD3" s="5464"/>
      <c r="AE3" s="5464"/>
      <c r="AF3" s="5464"/>
      <c r="AG3" s="5464"/>
      <c r="AH3" s="5464"/>
      <c r="AI3" s="5464"/>
      <c r="AJ3" s="5464"/>
      <c r="AK3" s="5464"/>
      <c r="AL3" s="5464"/>
      <c r="AM3" s="5464"/>
      <c r="AN3" s="5464"/>
      <c r="AO3" s="5464"/>
      <c r="AP3" s="5464"/>
      <c r="AQ3" s="5464"/>
      <c r="AR3" s="5464"/>
      <c r="AS3" s="5464"/>
      <c r="AT3" s="5465"/>
      <c r="AU3" s="1179" t="s">
        <v>491</v>
      </c>
      <c r="AW3" s="438"/>
      <c r="AX3" s="438" t="str">
        <f t="shared" si="0"/>
        <v>Территория действия тарифа</v>
      </c>
      <c r="AY3" s="438"/>
      <c r="AZ3" s="438"/>
      <c r="BA3" s="1076">
        <v>0</v>
      </c>
    </row>
    <row r="4" spans="1:53" ht="22.5" hidden="1" customHeight="1">
      <c r="A4" s="1284"/>
      <c r="B4" s="1284"/>
      <c r="C4" s="1284"/>
      <c r="D4" s="1284"/>
      <c r="E4" s="5470"/>
      <c r="F4" s="5470"/>
      <c r="G4" s="5469">
        <v>1</v>
      </c>
      <c r="H4" s="1284"/>
      <c r="I4" s="1284"/>
      <c r="J4" s="1284"/>
      <c r="K4" s="1284"/>
      <c r="L4" s="1285"/>
      <c r="M4" s="1286"/>
      <c r="N4" s="1286"/>
      <c r="O4" s="1286"/>
      <c r="P4" s="1333"/>
      <c r="Q4" s="1332"/>
      <c r="R4" s="291"/>
      <c r="S4" s="1257" t="e">
        <f>INDEX(PT_DIFFERENTIATION_NUM_CS,MATCH(C4,PT_DIFFERENTIATION_CS_ID,0))</f>
        <v>#N/A</v>
      </c>
      <c r="T4" s="247" t="s">
        <v>492</v>
      </c>
      <c r="U4" s="238"/>
      <c r="V4" s="5464"/>
      <c r="W4" s="5464"/>
      <c r="X4" s="5464"/>
      <c r="Y4" s="5464"/>
      <c r="Z4" s="5464"/>
      <c r="AA4" s="5465"/>
      <c r="AB4" s="5463" t="e">
        <f>INDEX(PT_DIFFERENTIATION_CS,MATCH(C4,PT_DIFFERENTIATION_CS_ID,0))</f>
        <v>#N/A</v>
      </c>
      <c r="AC4" s="5464"/>
      <c r="AD4" s="5464"/>
      <c r="AE4" s="5464"/>
      <c r="AF4" s="5464"/>
      <c r="AG4" s="5464"/>
      <c r="AH4" s="5464"/>
      <c r="AI4" s="5464"/>
      <c r="AJ4" s="5464"/>
      <c r="AK4" s="5464"/>
      <c r="AL4" s="5464"/>
      <c r="AM4" s="5464"/>
      <c r="AN4" s="5464"/>
      <c r="AO4" s="5464"/>
      <c r="AP4" s="5464"/>
      <c r="AQ4" s="5464"/>
      <c r="AR4" s="5464"/>
      <c r="AS4" s="5464"/>
      <c r="AT4" s="5465"/>
      <c r="AU4" s="1179" t="s">
        <v>493</v>
      </c>
      <c r="AW4" s="438"/>
      <c r="AX4" s="438" t="str">
        <f t="shared" si="0"/>
        <v xml:space="preserve">Наименование системы теплоснабжения </v>
      </c>
      <c r="AY4" s="438"/>
      <c r="AZ4" s="438"/>
      <c r="BA4" s="1076">
        <v>0</v>
      </c>
    </row>
    <row r="5" spans="1:53" ht="21" hidden="1" customHeight="1">
      <c r="A5" s="1284"/>
      <c r="B5" s="1284"/>
      <c r="C5" s="1284"/>
      <c r="D5" s="1284"/>
      <c r="E5" s="5470"/>
      <c r="F5" s="5470"/>
      <c r="G5" s="5470"/>
      <c r="H5" s="5469">
        <v>1</v>
      </c>
      <c r="I5" s="1284"/>
      <c r="J5" s="1284"/>
      <c r="K5" s="1284"/>
      <c r="L5" s="1285"/>
      <c r="M5" s="1286"/>
      <c r="N5" s="1286"/>
      <c r="O5" s="1286"/>
      <c r="P5" s="1333"/>
      <c r="Q5" s="1332"/>
      <c r="R5" s="291"/>
      <c r="S5" s="1257" t="e">
        <f>INDEX(PT_DIFFERENTIATION_NUM_IST_TE,MATCH(D5,PT_DIFFERENTIATION_IST_TE_ID,0))</f>
        <v>#N/A</v>
      </c>
      <c r="T5" s="248" t="s">
        <v>494</v>
      </c>
      <c r="U5" s="238"/>
      <c r="V5" s="5464"/>
      <c r="W5" s="5464"/>
      <c r="X5" s="5464"/>
      <c r="Y5" s="5464"/>
      <c r="Z5" s="5464"/>
      <c r="AA5" s="5465"/>
      <c r="AB5" s="5463" t="e">
        <f>INDEX(PT_DIFFERENTIATION_IST_TE,MATCH(D5,PT_DIFFERENTIATION_IST_TE_ID,0))</f>
        <v>#N/A</v>
      </c>
      <c r="AC5" s="5464"/>
      <c r="AD5" s="5464"/>
      <c r="AE5" s="5464"/>
      <c r="AF5" s="5464"/>
      <c r="AG5" s="5464"/>
      <c r="AH5" s="5464"/>
      <c r="AI5" s="5464"/>
      <c r="AJ5" s="5464"/>
      <c r="AK5" s="5464"/>
      <c r="AL5" s="5464"/>
      <c r="AM5" s="5464"/>
      <c r="AN5" s="5464"/>
      <c r="AO5" s="5464"/>
      <c r="AP5" s="5464"/>
      <c r="AQ5" s="5464"/>
      <c r="AR5" s="5464"/>
      <c r="AS5" s="5464"/>
      <c r="AT5" s="5465"/>
      <c r="AU5" s="1179" t="s">
        <v>495</v>
      </c>
      <c r="AW5" s="438"/>
      <c r="AX5" s="438" t="str">
        <f t="shared" si="0"/>
        <v xml:space="preserve">Источник тепловой энергии  </v>
      </c>
      <c r="AY5" s="438"/>
      <c r="AZ5" s="438"/>
      <c r="BA5" s="1076">
        <v>0</v>
      </c>
    </row>
    <row r="6" spans="1:53" s="4275" customFormat="1" ht="0.75" hidden="1" customHeight="1">
      <c r="A6" s="1264"/>
      <c r="B6" s="1264"/>
      <c r="C6" s="1264"/>
      <c r="D6" s="1264"/>
      <c r="E6" s="5470"/>
      <c r="F6" s="5470"/>
      <c r="G6" s="5470"/>
      <c r="H6" s="5470"/>
      <c r="I6" s="5471" t="e">
        <f>S5&amp;".1"</f>
        <v>#N/A</v>
      </c>
      <c r="J6" s="1264"/>
      <c r="K6" s="1264"/>
      <c r="L6" s="1267" t="s">
        <v>496</v>
      </c>
      <c r="M6" s="448"/>
      <c r="N6" s="448"/>
      <c r="O6" s="448"/>
      <c r="P6" s="5473">
        <v>1</v>
      </c>
      <c r="Q6" s="1252"/>
      <c r="R6" s="294"/>
      <c r="S6" s="967"/>
      <c r="T6" s="1304"/>
      <c r="U6" s="1305"/>
      <c r="V6" s="5501"/>
      <c r="W6" s="5501"/>
      <c r="X6" s="5501"/>
      <c r="Y6" s="5501"/>
      <c r="Z6" s="5501"/>
      <c r="AA6" s="5502"/>
      <c r="AB6" s="5500"/>
      <c r="AC6" s="5501"/>
      <c r="AD6" s="5501"/>
      <c r="AE6" s="5501"/>
      <c r="AF6" s="5501"/>
      <c r="AG6" s="5501"/>
      <c r="AH6" s="5501"/>
      <c r="AI6" s="5501"/>
      <c r="AJ6" s="5501"/>
      <c r="AK6" s="5501"/>
      <c r="AL6" s="5501"/>
      <c r="AM6" s="5501"/>
      <c r="AN6" s="5501"/>
      <c r="AO6" s="5501"/>
      <c r="AP6" s="5501"/>
      <c r="AQ6" s="5501"/>
      <c r="AR6" s="5501"/>
      <c r="AS6" s="5501"/>
      <c r="AT6" s="5502"/>
      <c r="AU6" s="1306"/>
      <c r="AW6" s="438"/>
      <c r="AX6" s="438" t="str">
        <f t="shared" si="0"/>
        <v/>
      </c>
      <c r="AY6" s="438"/>
      <c r="AZ6" s="438"/>
      <c r="BA6" s="449">
        <v>0</v>
      </c>
    </row>
    <row r="7" spans="1:53" s="4275" customFormat="1" ht="0.75" hidden="1" customHeight="1">
      <c r="A7" s="1264"/>
      <c r="B7" s="1264"/>
      <c r="C7" s="1264"/>
      <c r="D7" s="1264"/>
      <c r="E7" s="5470"/>
      <c r="F7" s="5470"/>
      <c r="G7" s="5470"/>
      <c r="H7" s="5470"/>
      <c r="I7" s="5472"/>
      <c r="J7" s="5471" t="e">
        <f>S5&amp;".1"</f>
        <v>#N/A</v>
      </c>
      <c r="K7" s="1264"/>
      <c r="L7" s="1267"/>
      <c r="M7" s="448"/>
      <c r="N7" s="448"/>
      <c r="O7" s="448"/>
      <c r="P7" s="5473"/>
      <c r="Q7" s="5473">
        <v>1</v>
      </c>
      <c r="R7" s="295"/>
      <c r="S7" s="967"/>
      <c r="T7" s="1320"/>
      <c r="U7" s="1305"/>
      <c r="V7" s="5501"/>
      <c r="W7" s="5501"/>
      <c r="X7" s="5501"/>
      <c r="Y7" s="5501"/>
      <c r="Z7" s="5501"/>
      <c r="AA7" s="5502"/>
      <c r="AB7" s="5500"/>
      <c r="AC7" s="5501"/>
      <c r="AD7" s="5501"/>
      <c r="AE7" s="5501"/>
      <c r="AF7" s="5501"/>
      <c r="AG7" s="5501"/>
      <c r="AH7" s="5501"/>
      <c r="AI7" s="5501"/>
      <c r="AJ7" s="5501"/>
      <c r="AK7" s="5501"/>
      <c r="AL7" s="5501"/>
      <c r="AM7" s="5501"/>
      <c r="AN7" s="5501"/>
      <c r="AO7" s="5501"/>
      <c r="AP7" s="5501"/>
      <c r="AQ7" s="5501"/>
      <c r="AR7" s="5501"/>
      <c r="AS7" s="5501"/>
      <c r="AT7" s="5502"/>
      <c r="AU7" s="1306"/>
      <c r="AW7" s="438"/>
      <c r="AX7" s="438" t="str">
        <f t="shared" si="0"/>
        <v/>
      </c>
      <c r="AY7" s="438"/>
      <c r="AZ7" s="438"/>
      <c r="BA7" s="449">
        <v>0</v>
      </c>
    </row>
    <row r="8" spans="1:53" ht="21" hidden="1" customHeight="1">
      <c r="A8" s="1284"/>
      <c r="B8" s="1284"/>
      <c r="C8" s="1284"/>
      <c r="D8" s="1284"/>
      <c r="E8" s="5470"/>
      <c r="F8" s="5470"/>
      <c r="G8" s="5470"/>
      <c r="H8" s="5470"/>
      <c r="I8" s="5472"/>
      <c r="J8" s="5472"/>
      <c r="K8" s="5471" t="e">
        <f>S5&amp;".1"</f>
        <v>#N/A</v>
      </c>
      <c r="L8" s="1285"/>
      <c r="P8" s="5473"/>
      <c r="Q8" s="5473"/>
      <c r="R8" s="5529">
        <v>1</v>
      </c>
      <c r="S8" s="5526" t="e">
        <f>$K8</f>
        <v>#N/A</v>
      </c>
      <c r="T8" s="5523"/>
      <c r="U8" s="238"/>
      <c r="V8" s="689"/>
      <c r="W8" s="1178"/>
      <c r="X8" s="5474"/>
      <c r="Y8" s="5338" t="s">
        <v>66</v>
      </c>
      <c r="Z8" s="5474"/>
      <c r="AA8" s="5338" t="s">
        <v>66</v>
      </c>
      <c r="AB8" s="5338" t="s">
        <v>19</v>
      </c>
      <c r="AC8" s="5522"/>
      <c r="AD8" s="5427">
        <v>1</v>
      </c>
      <c r="AE8" s="5536"/>
      <c r="AF8" s="5338" t="s">
        <v>19</v>
      </c>
      <c r="AG8" s="5522"/>
      <c r="AH8" s="5427">
        <v>1</v>
      </c>
      <c r="AI8" s="5536"/>
      <c r="AJ8" s="5338" t="s">
        <v>19</v>
      </c>
      <c r="AK8" s="249"/>
      <c r="AL8" s="1258">
        <v>1</v>
      </c>
      <c r="AM8" s="1319"/>
      <c r="AN8" s="689"/>
      <c r="AO8" s="1178"/>
      <c r="AP8" s="1654"/>
      <c r="AQ8" s="1380" t="s">
        <v>66</v>
      </c>
      <c r="AR8" s="1654"/>
      <c r="AS8" s="1380" t="s">
        <v>66</v>
      </c>
      <c r="AT8" s="1269"/>
      <c r="AU8" s="5492" t="s">
        <v>554</v>
      </c>
      <c r="AV8" s="449" t="e">
        <f ca="1">STRCHECKDATE(V11:AT11)</f>
        <v>#NAME?</v>
      </c>
      <c r="AW8" s="438"/>
      <c r="AX8" s="438" t="str">
        <f t="shared" si="0"/>
        <v/>
      </c>
      <c r="AY8" s="438"/>
      <c r="AZ8" s="438"/>
      <c r="BA8" s="1076">
        <v>0</v>
      </c>
    </row>
    <row r="9" spans="1:53" ht="11.25" hidden="1" customHeight="1">
      <c r="A9" s="1284"/>
      <c r="B9" s="1284"/>
      <c r="C9" s="1284"/>
      <c r="D9" s="1284"/>
      <c r="E9" s="5470"/>
      <c r="F9" s="5470"/>
      <c r="G9" s="5470"/>
      <c r="H9" s="5470"/>
      <c r="I9" s="5472"/>
      <c r="J9" s="5472"/>
      <c r="K9" s="5471"/>
      <c r="L9" s="1285"/>
      <c r="P9" s="5473"/>
      <c r="Q9" s="5473"/>
      <c r="R9" s="5529"/>
      <c r="S9" s="5527"/>
      <c r="T9" s="5524"/>
      <c r="U9" s="238"/>
      <c r="V9" s="1314"/>
      <c r="W9" s="1318"/>
      <c r="X9" s="5474"/>
      <c r="Y9" s="5338"/>
      <c r="Z9" s="5474"/>
      <c r="AA9" s="5338"/>
      <c r="AB9" s="5338"/>
      <c r="AC9" s="5522"/>
      <c r="AD9" s="5427"/>
      <c r="AE9" s="5536"/>
      <c r="AF9" s="5338"/>
      <c r="AG9" s="5522"/>
      <c r="AH9" s="5427"/>
      <c r="AI9" s="5536"/>
      <c r="AJ9" s="5338"/>
      <c r="AK9" s="254"/>
      <c r="AL9" s="354"/>
      <c r="AM9" s="353" t="s">
        <v>555</v>
      </c>
      <c r="AN9" s="1314"/>
      <c r="AO9" s="1417"/>
      <c r="AP9" s="1314"/>
      <c r="AQ9" s="1314"/>
      <c r="AR9" s="1314"/>
      <c r="AS9" s="1314"/>
      <c r="AT9" s="1311"/>
      <c r="AU9" s="5493"/>
      <c r="AW9" s="438"/>
      <c r="AX9" s="438"/>
      <c r="AY9" s="438"/>
      <c r="AZ9" s="438"/>
      <c r="BA9" s="1076">
        <v>0</v>
      </c>
    </row>
    <row r="10" spans="1:53" ht="11.25" hidden="1" customHeight="1">
      <c r="A10" s="1284"/>
      <c r="B10" s="1284"/>
      <c r="C10" s="1284"/>
      <c r="D10" s="1284"/>
      <c r="E10" s="5470"/>
      <c r="F10" s="5470"/>
      <c r="G10" s="5470"/>
      <c r="H10" s="5470"/>
      <c r="I10" s="5472"/>
      <c r="J10" s="5472"/>
      <c r="K10" s="5471"/>
      <c r="L10" s="1285"/>
      <c r="P10" s="5473"/>
      <c r="Q10" s="5473"/>
      <c r="R10" s="5529"/>
      <c r="S10" s="5527"/>
      <c r="T10" s="5524"/>
      <c r="U10" s="238"/>
      <c r="V10" s="1314"/>
      <c r="W10" s="1318"/>
      <c r="X10" s="5474"/>
      <c r="Y10" s="5338"/>
      <c r="Z10" s="5474"/>
      <c r="AA10" s="5338"/>
      <c r="AB10" s="5338"/>
      <c r="AC10" s="5522"/>
      <c r="AD10" s="5427"/>
      <c r="AE10" s="5536"/>
      <c r="AF10" s="5338"/>
      <c r="AG10" s="232"/>
      <c r="AH10" s="353"/>
      <c r="AI10" s="353" t="s">
        <v>556</v>
      </c>
      <c r="AJ10" s="1314"/>
      <c r="AK10" s="1314"/>
      <c r="AL10" s="1314"/>
      <c r="AM10" s="1314"/>
      <c r="AN10" s="1314"/>
      <c r="AO10" s="1417"/>
      <c r="AP10" s="1314"/>
      <c r="AQ10" s="1314"/>
      <c r="AR10" s="1314"/>
      <c r="AS10" s="1314"/>
      <c r="AT10" s="1311"/>
      <c r="AU10" s="5493"/>
      <c r="AW10" s="438"/>
      <c r="AX10" s="438"/>
      <c r="AY10" s="438"/>
      <c r="AZ10" s="438"/>
      <c r="BA10" s="1076">
        <v>0</v>
      </c>
    </row>
    <row r="11" spans="1:53" ht="11.25" hidden="1" customHeight="1">
      <c r="A11" s="1284"/>
      <c r="B11" s="1284"/>
      <c r="C11" s="1284"/>
      <c r="D11" s="1284"/>
      <c r="E11" s="5470"/>
      <c r="F11" s="5470"/>
      <c r="G11" s="5470"/>
      <c r="H11" s="5470"/>
      <c r="I11" s="5472"/>
      <c r="J11" s="5472"/>
      <c r="K11" s="5471"/>
      <c r="L11" s="1285"/>
      <c r="P11" s="5473"/>
      <c r="Q11" s="5473"/>
      <c r="R11" s="5529"/>
      <c r="S11" s="5528"/>
      <c r="T11" s="5525"/>
      <c r="U11" s="238"/>
      <c r="V11" s="1314"/>
      <c r="W11" s="1317" t="str">
        <f>X8&amp;"-"&amp;Z8</f>
        <v>-</v>
      </c>
      <c r="X11" s="5475"/>
      <c r="Y11" s="5338"/>
      <c r="Z11" s="5475"/>
      <c r="AA11" s="5338"/>
      <c r="AB11" s="5338"/>
      <c r="AC11" s="250"/>
      <c r="AD11" s="252"/>
      <c r="AE11" s="353" t="s">
        <v>557</v>
      </c>
      <c r="AF11" s="1314"/>
      <c r="AG11" s="1314"/>
      <c r="AH11" s="1314"/>
      <c r="AI11" s="1314"/>
      <c r="AJ11" s="1314"/>
      <c r="AK11" s="1314"/>
      <c r="AL11" s="1314"/>
      <c r="AM11" s="1314"/>
      <c r="AN11" s="1314"/>
      <c r="AO11" s="1315" t="str">
        <f>AP8&amp;"-"&amp;AR8</f>
        <v>-</v>
      </c>
      <c r="AP11" s="1314"/>
      <c r="AQ11" s="1314"/>
      <c r="AR11" s="1314"/>
      <c r="AS11" s="1314"/>
      <c r="AT11" s="1270"/>
      <c r="AU11" s="5493"/>
      <c r="AW11" s="438"/>
      <c r="AX11" s="438" t="str">
        <f t="shared" ref="AX11:AX17" si="1">IF(T11="","",T11)</f>
        <v/>
      </c>
      <c r="AY11" s="438"/>
      <c r="AZ11" s="438"/>
      <c r="BA11" s="1076">
        <v>0</v>
      </c>
    </row>
    <row r="12" spans="1:53" ht="11.25" hidden="1" customHeight="1">
      <c r="A12" s="1284"/>
      <c r="B12" s="1284"/>
      <c r="C12" s="1284"/>
      <c r="D12" s="1284"/>
      <c r="E12" s="5470"/>
      <c r="F12" s="5470"/>
      <c r="G12" s="5470"/>
      <c r="H12" s="5470"/>
      <c r="I12" s="5472"/>
      <c r="J12" s="5471"/>
      <c r="K12" s="1284"/>
      <c r="L12" s="1285"/>
      <c r="P12" s="5473"/>
      <c r="Q12" s="5473"/>
      <c r="R12" s="294"/>
      <c r="S12" s="1199"/>
      <c r="T12" s="225" t="s">
        <v>558</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5494"/>
      <c r="AW12" s="438"/>
      <c r="AX12" s="438" t="str">
        <f t="shared" si="1"/>
        <v>Добавить строку</v>
      </c>
      <c r="AY12" s="438"/>
      <c r="AZ12" s="438"/>
      <c r="BA12" s="1076">
        <v>0</v>
      </c>
    </row>
    <row r="13" spans="1:53" s="4275" customFormat="1" ht="0.75" hidden="1" customHeight="1">
      <c r="A13" s="1264"/>
      <c r="B13" s="1264"/>
      <c r="C13" s="1264"/>
      <c r="D13" s="1264"/>
      <c r="E13" s="5470"/>
      <c r="F13" s="5470"/>
      <c r="G13" s="5470"/>
      <c r="H13" s="5470"/>
      <c r="I13" s="5471"/>
      <c r="J13" s="1264"/>
      <c r="K13" s="1264"/>
      <c r="L13" s="1267"/>
      <c r="M13" s="448"/>
      <c r="N13" s="448"/>
      <c r="O13" s="448"/>
      <c r="P13" s="5473"/>
      <c r="Q13" s="1252"/>
      <c r="R13" s="294"/>
      <c r="S13" s="1307"/>
      <c r="T13" s="1308"/>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AP13" s="1309"/>
      <c r="AQ13" s="1309"/>
      <c r="AR13" s="1309"/>
      <c r="AS13" s="1309"/>
      <c r="AT13" s="1309"/>
      <c r="AU13" s="1310"/>
      <c r="AW13" s="438"/>
      <c r="AX13" s="438" t="str">
        <f t="shared" si="1"/>
        <v/>
      </c>
      <c r="AY13" s="438"/>
      <c r="AZ13" s="438"/>
      <c r="BA13" s="449">
        <v>0</v>
      </c>
    </row>
    <row r="14" spans="1:53" s="4275" customFormat="1" ht="0.75" hidden="1" customHeight="1">
      <c r="A14" s="1264"/>
      <c r="B14" s="1264"/>
      <c r="C14" s="1264"/>
      <c r="D14" s="1264"/>
      <c r="E14" s="5470"/>
      <c r="F14" s="5470"/>
      <c r="G14" s="5470"/>
      <c r="H14" s="5469"/>
      <c r="I14" s="1264"/>
      <c r="J14" s="1264"/>
      <c r="K14" s="1264"/>
      <c r="L14" s="1267"/>
      <c r="M14" s="1236"/>
      <c r="N14" s="1236"/>
      <c r="O14" s="456"/>
      <c r="P14" s="318"/>
      <c r="Q14" s="1265"/>
      <c r="R14" s="1322"/>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10"/>
      <c r="AW14" s="438"/>
      <c r="AX14" s="438" t="str">
        <f t="shared" si="1"/>
        <v/>
      </c>
      <c r="AY14" s="438"/>
      <c r="AZ14" s="438"/>
      <c r="BA14" s="449">
        <v>0</v>
      </c>
    </row>
    <row r="15" spans="1:53" s="4275" customFormat="1" ht="0.75" hidden="1" customHeight="1">
      <c r="A15" s="1264"/>
      <c r="B15" s="1264"/>
      <c r="C15" s="1264"/>
      <c r="D15" s="1235"/>
      <c r="E15" s="5470"/>
      <c r="F15" s="5470"/>
      <c r="G15" s="5469"/>
      <c r="H15" s="1235"/>
      <c r="I15" s="1235"/>
      <c r="J15" s="1235"/>
      <c r="K15" s="1235"/>
      <c r="L15" s="1260"/>
      <c r="M15" s="1236"/>
      <c r="N15" s="1236"/>
      <c r="P15" s="1237"/>
      <c r="Q15" s="1238"/>
      <c r="R15" s="1237"/>
      <c r="S15" s="1243"/>
      <c r="T15" s="1246" t="s">
        <v>507</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W15" s="721"/>
      <c r="AX15" s="721" t="str">
        <f t="shared" si="1"/>
        <v>Добавить источник для дифференциации</v>
      </c>
      <c r="AY15" s="721"/>
      <c r="AZ15" s="721"/>
      <c r="BA15" s="456">
        <v>0</v>
      </c>
    </row>
    <row r="16" spans="1:53" s="4275" customFormat="1" ht="0.75" hidden="1" customHeight="1">
      <c r="A16" s="1264"/>
      <c r="B16" s="1264"/>
      <c r="C16" s="1235"/>
      <c r="D16" s="1235"/>
      <c r="E16" s="5470"/>
      <c r="F16" s="5469"/>
      <c r="G16" s="1235"/>
      <c r="H16" s="1235"/>
      <c r="I16" s="1235"/>
      <c r="J16" s="1235"/>
      <c r="K16" s="1235"/>
      <c r="L16" s="1260"/>
      <c r="M16" s="1242"/>
      <c r="N16" s="1242"/>
      <c r="P16" s="1237"/>
      <c r="Q16" s="1238"/>
      <c r="R16" s="1237"/>
      <c r="S16" s="1243"/>
      <c r="T16" s="1246" t="s">
        <v>312</v>
      </c>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W16" s="721"/>
      <c r="AX16" s="721" t="str">
        <f t="shared" si="1"/>
        <v>Добавить централизованную систему для дифференциации</v>
      </c>
      <c r="AY16" s="721"/>
      <c r="AZ16" s="721"/>
      <c r="BA16" s="456">
        <v>0</v>
      </c>
    </row>
    <row r="17" spans="1:53" s="4275" customFormat="1" ht="0.75" hidden="1" customHeight="1">
      <c r="A17" s="1264"/>
      <c r="B17" s="1264"/>
      <c r="C17" s="1264"/>
      <c r="D17" s="1264"/>
      <c r="E17" s="5469"/>
      <c r="F17" s="1264"/>
      <c r="G17" s="1264"/>
      <c r="H17" s="1264"/>
      <c r="I17" s="1264"/>
      <c r="J17" s="1264"/>
      <c r="K17" s="1264"/>
      <c r="L17" s="1267"/>
      <c r="M17" s="1242"/>
      <c r="N17" s="1242"/>
      <c r="O17" s="456"/>
      <c r="P17" s="318"/>
      <c r="Q17" s="1265"/>
      <c r="R17" s="318"/>
      <c r="S17" s="1243"/>
      <c r="T17" s="1246" t="s">
        <v>360</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W17" s="438"/>
      <c r="AX17" s="438" t="str">
        <f t="shared" si="1"/>
        <v>Добавить территорию для дифференциации</v>
      </c>
      <c r="AY17" s="438"/>
      <c r="AZ17" s="438"/>
      <c r="BA17" s="449">
        <v>0</v>
      </c>
    </row>
    <row r="18" spans="1:53" ht="14.25" hidden="1" customHeight="1">
      <c r="AA18" s="265"/>
      <c r="AS18" s="265"/>
      <c r="BA18" s="1076">
        <v>0</v>
      </c>
    </row>
    <row r="19" spans="1:53" ht="14.25" hidden="1" customHeight="1">
      <c r="AB19" s="1245" t="s">
        <v>19</v>
      </c>
      <c r="AC19" s="1422"/>
      <c r="AD19" s="486">
        <v>1</v>
      </c>
      <c r="AE19" s="1423"/>
      <c r="AF19" s="1245" t="s">
        <v>19</v>
      </c>
      <c r="AG19" s="1422"/>
      <c r="AH19" s="486">
        <v>1</v>
      </c>
      <c r="AI19" s="1423"/>
      <c r="AJ19" s="1245" t="s">
        <v>19</v>
      </c>
      <c r="AK19" s="1424"/>
      <c r="AL19" s="486">
        <v>1</v>
      </c>
      <c r="AM19" s="1427"/>
      <c r="AN19" s="1324"/>
      <c r="AO19" s="1325"/>
      <c r="AP19" s="1656"/>
      <c r="AQ19" s="1381" t="s">
        <v>66</v>
      </c>
      <c r="AR19" s="1656"/>
      <c r="AS19" s="1381" t="s">
        <v>66</v>
      </c>
      <c r="BA19" s="1076">
        <v>0</v>
      </c>
    </row>
    <row r="20" spans="1:53" ht="14.25" hidden="1" customHeight="1">
      <c r="AV20" s="434"/>
      <c r="AW20" s="434"/>
      <c r="AX20" s="434"/>
      <c r="AY20" s="434"/>
      <c r="AZ20" s="434"/>
      <c r="BA20" s="1076">
        <v>0</v>
      </c>
    </row>
    <row r="21" spans="1:53" ht="14.25" hidden="1" customHeight="1">
      <c r="O21" s="1288" t="s">
        <v>508</v>
      </c>
      <c r="X21" s="1266"/>
      <c r="Z21" s="1266"/>
      <c r="AA21" s="265"/>
      <c r="AP21" s="1266"/>
      <c r="AR21" s="1266"/>
      <c r="AS21" s="265"/>
      <c r="AV21" s="434"/>
      <c r="AW21" s="434"/>
      <c r="AX21" s="434"/>
      <c r="AY21" s="434"/>
      <c r="AZ21" s="434"/>
      <c r="BA21" s="1076">
        <v>0</v>
      </c>
    </row>
    <row r="22" spans="1:53" ht="14.25" hidden="1" customHeight="1">
      <c r="AA22" s="265"/>
      <c r="AS22" s="265"/>
      <c r="AV22" s="434"/>
      <c r="AW22" s="434"/>
      <c r="AX22" s="434"/>
      <c r="AY22" s="434"/>
      <c r="AZ22" s="434"/>
      <c r="BA22" s="1076">
        <v>0</v>
      </c>
    </row>
    <row r="23" spans="1:53" s="4305" customFormat="1" ht="14.25" hidden="1" customHeight="1">
      <c r="M23" s="1429"/>
      <c r="N23" s="1429"/>
      <c r="O23" s="1430" t="s">
        <v>509</v>
      </c>
      <c r="P23" s="1429"/>
      <c r="Q23" s="1431"/>
      <c r="R23" s="1431"/>
      <c r="Y23" s="1428" t="s">
        <v>511</v>
      </c>
      <c r="AA23" s="1428" t="s">
        <v>512</v>
      </c>
      <c r="AB23" s="1428" t="s">
        <v>559</v>
      </c>
      <c r="AE23" s="1428" t="s">
        <v>560</v>
      </c>
      <c r="AF23" s="1428" t="s">
        <v>559</v>
      </c>
      <c r="AI23" s="1428" t="s">
        <v>561</v>
      </c>
      <c r="AJ23" s="1428" t="s">
        <v>559</v>
      </c>
      <c r="AM23" s="1428" t="s">
        <v>562</v>
      </c>
      <c r="AQ23" s="1428" t="s">
        <v>511</v>
      </c>
      <c r="AS23" s="1428" t="s">
        <v>512</v>
      </c>
      <c r="AV23" s="1432"/>
      <c r="AW23" s="1432"/>
      <c r="AX23" s="1432"/>
      <c r="AY23" s="1432"/>
      <c r="AZ23" s="1432"/>
      <c r="BA23" s="1428">
        <v>0</v>
      </c>
    </row>
    <row r="24" spans="1:53" ht="14.25" hidden="1" customHeight="1">
      <c r="O24" s="1285"/>
      <c r="AV24" s="434"/>
      <c r="AW24" s="434"/>
      <c r="AX24" s="434"/>
      <c r="AY24" s="434"/>
      <c r="AZ24" s="434"/>
      <c r="BA24" s="1076">
        <v>0</v>
      </c>
    </row>
    <row r="25" spans="1:53" ht="14.25" hidden="1" customHeight="1">
      <c r="O25" s="1285"/>
      <c r="AV25" s="434"/>
      <c r="AW25" s="434"/>
      <c r="AX25" s="434"/>
      <c r="AY25" s="434"/>
      <c r="AZ25" s="434"/>
      <c r="BA25" s="1076">
        <v>0</v>
      </c>
    </row>
    <row r="26" spans="1:53" ht="14.65" customHeight="1">
      <c r="Q26" s="229"/>
      <c r="R26" s="314"/>
      <c r="S26" s="1196"/>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76">
        <v>14</v>
      </c>
    </row>
    <row r="27" spans="1:53" ht="27.4" customHeight="1">
      <c r="Q27" s="229"/>
      <c r="R27" s="314"/>
      <c r="S27" s="54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450"/>
      <c r="U27" s="5450"/>
      <c r="V27" s="5450"/>
      <c r="W27" s="5450"/>
      <c r="X27" s="5450"/>
      <c r="Y27" s="5450"/>
      <c r="Z27" s="5450"/>
      <c r="AA27" s="5450"/>
      <c r="AB27" s="5450"/>
      <c r="AC27" s="5450"/>
      <c r="AD27" s="5450"/>
      <c r="AE27" s="5450"/>
      <c r="AF27" s="5450"/>
      <c r="AG27" s="5450"/>
      <c r="AH27" s="5450"/>
      <c r="AI27" s="5450"/>
      <c r="AJ27" s="5450"/>
      <c r="AK27" s="5450"/>
      <c r="AL27" s="5450"/>
      <c r="AM27" s="5450"/>
      <c r="AN27" s="5450"/>
      <c r="AO27" s="5450"/>
      <c r="AP27" s="5450"/>
      <c r="AQ27" s="5450"/>
      <c r="AR27" s="5450"/>
      <c r="AS27" s="1164"/>
      <c r="BA27" s="1076">
        <v>26</v>
      </c>
    </row>
    <row r="28" spans="1:53" ht="14.65" customHeight="1">
      <c r="Q28" s="229"/>
      <c r="R28" s="314"/>
      <c r="S28" s="5423" t="str">
        <f>IF(org=0,"Не определено",org)</f>
        <v>КГУП "Примтеплоэнерго"</v>
      </c>
      <c r="T28" s="5423"/>
      <c r="U28" s="5423"/>
      <c r="V28" s="5423"/>
      <c r="W28" s="5423"/>
      <c r="X28" s="5423"/>
      <c r="Y28" s="5423"/>
      <c r="Z28" s="5423"/>
      <c r="AA28" s="5423"/>
      <c r="AB28" s="5423"/>
      <c r="AC28" s="5423"/>
      <c r="AD28" s="5423"/>
      <c r="AE28" s="5423"/>
      <c r="AF28" s="5423"/>
      <c r="AG28" s="5423"/>
      <c r="AH28" s="5423"/>
      <c r="AI28" s="5423"/>
      <c r="AJ28" s="5423"/>
      <c r="AK28" s="5423"/>
      <c r="AL28" s="5423"/>
      <c r="AM28" s="5423"/>
      <c r="AN28" s="5423"/>
      <c r="AO28" s="5423"/>
      <c r="AP28" s="5423"/>
      <c r="AQ28" s="5423"/>
      <c r="AR28" s="5423"/>
      <c r="AS28" s="1164"/>
      <c r="BA28" s="1076">
        <v>14</v>
      </c>
    </row>
    <row r="29" spans="1:53" ht="14.25" hidden="1" customHeight="1">
      <c r="Q29" s="229"/>
      <c r="R29" s="314"/>
      <c r="S29" s="1196"/>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76">
        <v>0</v>
      </c>
    </row>
    <row r="30" spans="1:53" s="4284" customFormat="1" ht="25.5" hidden="1" customHeight="1">
      <c r="A30" s="1289"/>
      <c r="B30" s="1289"/>
      <c r="C30" s="1289"/>
      <c r="D30" s="1289"/>
      <c r="E30" s="1289"/>
      <c r="F30" s="1289"/>
      <c r="G30" s="1289"/>
      <c r="H30" s="1289"/>
      <c r="I30" s="1289"/>
      <c r="J30" s="1289"/>
      <c r="K30" s="1289"/>
      <c r="L30" s="1290"/>
      <c r="M30" s="1289"/>
      <c r="N30" s="1289"/>
      <c r="O30" s="1289"/>
      <c r="P30" s="1289"/>
      <c r="Q30" s="1289"/>
      <c r="S30" s="5460" t="s">
        <v>42</v>
      </c>
      <c r="T30" s="5460"/>
      <c r="U30" s="1293"/>
      <c r="V30" s="5462" t="str">
        <f>IF(TITLE_NAME_OR_PR_CHANGE="",IF(TITLE_NAME_OR_PR="","",TITLE_NAME_OR_PR),TITLE_NAME_OR_PR_CHANGE)</f>
        <v/>
      </c>
      <c r="W30" s="5462"/>
      <c r="X30" s="5462"/>
      <c r="Y30" s="5462"/>
      <c r="Z30" s="5462"/>
      <c r="AA30" s="264"/>
      <c r="AB30" s="5462" t="str">
        <f>IF(TITLE_NAME_OR_PR_CHANGE="",IF(TITLE_NAME_OR_PR="","",TITLE_NAME_OR_PR),TITLE_NAME_OR_PR_CHANGE)</f>
        <v/>
      </c>
      <c r="AC30" s="5462"/>
      <c r="AD30" s="5462"/>
      <c r="AE30" s="5462"/>
      <c r="AF30" s="5462"/>
      <c r="AG30" s="5462"/>
      <c r="AH30" s="5462"/>
      <c r="AI30" s="5462"/>
      <c r="AJ30" s="5462"/>
      <c r="AK30" s="5462"/>
      <c r="AL30" s="5462"/>
      <c r="AM30" s="5462"/>
      <c r="AN30" s="5462"/>
      <c r="AO30" s="5462"/>
      <c r="AP30" s="5462"/>
      <c r="AQ30" s="5462"/>
      <c r="AR30" s="5462"/>
      <c r="AS30" s="264"/>
      <c r="AT30" s="264"/>
      <c r="AU30" s="218"/>
      <c r="AV30" s="306"/>
      <c r="AW30" s="306"/>
      <c r="AX30" s="306"/>
      <c r="AY30" s="306"/>
      <c r="AZ30" s="306"/>
      <c r="BA30" s="356">
        <v>0</v>
      </c>
    </row>
    <row r="31" spans="1:53" s="4284" customFormat="1" ht="18.75" hidden="1" customHeight="1">
      <c r="A31" s="1289"/>
      <c r="B31" s="1289"/>
      <c r="C31" s="1289"/>
      <c r="D31" s="1289"/>
      <c r="E31" s="1289"/>
      <c r="F31" s="1289"/>
      <c r="G31" s="1289"/>
      <c r="H31" s="1289"/>
      <c r="I31" s="1289"/>
      <c r="J31" s="1289"/>
      <c r="K31" s="1289"/>
      <c r="L31" s="1290"/>
      <c r="M31" s="1289"/>
      <c r="N31" s="1289"/>
      <c r="O31" s="1289"/>
      <c r="P31" s="1289"/>
      <c r="Q31" s="1289"/>
      <c r="S31" s="5460" t="s">
        <v>514</v>
      </c>
      <c r="T31" s="5460"/>
      <c r="U31" s="1293"/>
      <c r="V31" s="5461">
        <f>IF(TITLE_DATE_PR_CHANGE="",IF(TITLE_DATE_PR="","",TITLE_DATE_PR),TITLE_DATE_PR_CHANGE)</f>
        <v>45649.605891203704</v>
      </c>
      <c r="W31" s="5461"/>
      <c r="X31" s="5461"/>
      <c r="Y31" s="5461"/>
      <c r="Z31" s="5461"/>
      <c r="AA31" s="264"/>
      <c r="AB31" s="5461">
        <f>IF(TITLE_DATE_PR_CHANGE="",IF(TITLE_DATE_PR="","",TITLE_DATE_PR),TITLE_DATE_PR_CHANGE)</f>
        <v>45649.605891203704</v>
      </c>
      <c r="AC31" s="5461"/>
      <c r="AD31" s="5461"/>
      <c r="AE31" s="5461"/>
      <c r="AF31" s="5461"/>
      <c r="AG31" s="5461"/>
      <c r="AH31" s="5461"/>
      <c r="AI31" s="5461"/>
      <c r="AJ31" s="5461"/>
      <c r="AK31" s="5461"/>
      <c r="AL31" s="5461"/>
      <c r="AM31" s="5461"/>
      <c r="AN31" s="5461"/>
      <c r="AO31" s="5461"/>
      <c r="AP31" s="5461"/>
      <c r="AQ31" s="5461"/>
      <c r="AR31" s="5461"/>
      <c r="AS31" s="264"/>
      <c r="AT31" s="264"/>
      <c r="AU31" s="218"/>
      <c r="AV31" s="306"/>
      <c r="AW31" s="306"/>
      <c r="AX31" s="306"/>
      <c r="AY31" s="306"/>
      <c r="AZ31" s="306"/>
      <c r="BA31" s="356">
        <v>0</v>
      </c>
    </row>
    <row r="32" spans="1:53" s="4284" customFormat="1" ht="18.75" hidden="1" customHeight="1">
      <c r="A32" s="1289"/>
      <c r="B32" s="1289"/>
      <c r="C32" s="1289"/>
      <c r="D32" s="1289"/>
      <c r="E32" s="1289"/>
      <c r="F32" s="1289"/>
      <c r="G32" s="1289"/>
      <c r="H32" s="1289"/>
      <c r="I32" s="1289"/>
      <c r="J32" s="1289"/>
      <c r="K32" s="1289"/>
      <c r="L32" s="1290"/>
      <c r="M32" s="1289"/>
      <c r="N32" s="1289"/>
      <c r="O32" s="1289"/>
      <c r="P32" s="1289"/>
      <c r="Q32" s="1289"/>
      <c r="S32" s="5460" t="s">
        <v>515</v>
      </c>
      <c r="T32" s="5460"/>
      <c r="U32" s="1293"/>
      <c r="V32" s="5462" t="str">
        <f>IF(TITLE_NUMBER_PR_CHANGE="",IF(TITLE_NUMBER_PR="","",TITLE_NUMBER_PR),TITLE_NUMBER_PR_CHANGE)</f>
        <v>27-6414</v>
      </c>
      <c r="W32" s="5462"/>
      <c r="X32" s="5462"/>
      <c r="Y32" s="5462"/>
      <c r="Z32" s="5462"/>
      <c r="AA32" s="264"/>
      <c r="AB32" s="5462" t="str">
        <f>IF(TITLE_NUMBER_PR_CHANGE="",IF(TITLE_NUMBER_PR="","",TITLE_NUMBER_PR),TITLE_NUMBER_PR_CHANGE)</f>
        <v>27-6414</v>
      </c>
      <c r="AC32" s="5462"/>
      <c r="AD32" s="5462"/>
      <c r="AE32" s="5462"/>
      <c r="AF32" s="5462"/>
      <c r="AG32" s="5462"/>
      <c r="AH32" s="5462"/>
      <c r="AI32" s="5462"/>
      <c r="AJ32" s="5462"/>
      <c r="AK32" s="5462"/>
      <c r="AL32" s="5462"/>
      <c r="AM32" s="5462"/>
      <c r="AN32" s="5462"/>
      <c r="AO32" s="5462"/>
      <c r="AP32" s="5462"/>
      <c r="AQ32" s="5462"/>
      <c r="AR32" s="5462"/>
      <c r="AS32" s="264"/>
      <c r="AT32" s="264"/>
      <c r="AU32" s="218"/>
      <c r="AV32" s="306"/>
      <c r="AW32" s="306"/>
      <c r="AX32" s="306"/>
      <c r="AY32" s="306"/>
      <c r="AZ32" s="306"/>
      <c r="BA32" s="356">
        <v>0</v>
      </c>
    </row>
    <row r="33" spans="1:53" s="4284" customFormat="1" ht="18.75" hidden="1" customHeight="1">
      <c r="A33" s="1289"/>
      <c r="B33" s="1289"/>
      <c r="C33" s="1289"/>
      <c r="D33" s="1289"/>
      <c r="E33" s="1289"/>
      <c r="F33" s="1289"/>
      <c r="G33" s="1289"/>
      <c r="H33" s="1289"/>
      <c r="I33" s="1289"/>
      <c r="J33" s="1289"/>
      <c r="K33" s="1289"/>
      <c r="L33" s="1290"/>
      <c r="M33" s="1289"/>
      <c r="N33" s="1289"/>
      <c r="O33" s="1289"/>
      <c r="P33" s="1289"/>
      <c r="Q33" s="1289"/>
      <c r="S33" s="5460" t="s">
        <v>43</v>
      </c>
      <c r="T33" s="5460"/>
      <c r="U33" s="1293"/>
      <c r="V33" s="5462" t="str">
        <f>IF(TITLE_IST_PUB_CHANGE="",IF(TITLE_IST_PUB="","",TITLE_IST_PUB),TITLE_IST_PUB_CHANGE)</f>
        <v/>
      </c>
      <c r="W33" s="5462"/>
      <c r="X33" s="5462"/>
      <c r="Y33" s="5462"/>
      <c r="Z33" s="5462"/>
      <c r="AA33" s="264"/>
      <c r="AB33" s="5462" t="str">
        <f>IF(TITLE_IST_PUB_CHANGE="",IF(TITLE_IST_PUB="","",TITLE_IST_PUB),TITLE_IST_PUB_CHANGE)</f>
        <v/>
      </c>
      <c r="AC33" s="5462"/>
      <c r="AD33" s="5462"/>
      <c r="AE33" s="5462"/>
      <c r="AF33" s="5462"/>
      <c r="AG33" s="5462"/>
      <c r="AH33" s="5462"/>
      <c r="AI33" s="5462"/>
      <c r="AJ33" s="5462"/>
      <c r="AK33" s="5462"/>
      <c r="AL33" s="5462"/>
      <c r="AM33" s="5462"/>
      <c r="AN33" s="5462"/>
      <c r="AO33" s="5462"/>
      <c r="AP33" s="5462"/>
      <c r="AQ33" s="5462"/>
      <c r="AR33" s="5462"/>
      <c r="AS33" s="264"/>
      <c r="AT33" s="264"/>
      <c r="AU33" s="218"/>
      <c r="AV33" s="306"/>
      <c r="AW33" s="306"/>
      <c r="AX33" s="306"/>
      <c r="AY33" s="306"/>
      <c r="AZ33" s="306"/>
      <c r="BA33" s="356">
        <v>0</v>
      </c>
    </row>
    <row r="34" spans="1:53" ht="14.25" customHeight="1">
      <c r="Q34" s="229"/>
      <c r="R34" s="314"/>
      <c r="S34" s="1196"/>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76">
        <v>0</v>
      </c>
    </row>
    <row r="35" spans="1:53" s="4284" customFormat="1" ht="18.75" customHeight="1">
      <c r="A35" s="1289"/>
      <c r="B35" s="1289"/>
      <c r="C35" s="1289"/>
      <c r="D35" s="1289"/>
      <c r="E35" s="1289"/>
      <c r="F35" s="1289"/>
      <c r="G35" s="1289"/>
      <c r="H35" s="1289"/>
      <c r="I35" s="1289"/>
      <c r="J35" s="1289"/>
      <c r="K35" s="1289"/>
      <c r="L35" s="1290"/>
      <c r="M35" s="1289"/>
      <c r="N35" s="1289"/>
      <c r="O35" s="1289"/>
      <c r="P35" s="1289"/>
      <c r="Q35" s="1289"/>
      <c r="S35" s="5460" t="s">
        <v>514</v>
      </c>
      <c r="T35" s="5460"/>
      <c r="U35" s="1293"/>
      <c r="V35" s="5461">
        <f>IF(TITLE_DATE_PR_CHANGE="",IF(TITLE_DATE_PR="","",TITLE_DATE_PR),TITLE_DATE_PR_CHANGE)</f>
        <v>45649.605891203704</v>
      </c>
      <c r="W35" s="5461"/>
      <c r="X35" s="5461"/>
      <c r="Y35" s="5461"/>
      <c r="Z35" s="5461"/>
      <c r="AA35" s="264"/>
      <c r="AB35" s="5461">
        <f>IF(TITLE_DATE_PR_CHANGE="",IF(TITLE_DATE_PR="","",TITLE_DATE_PR),TITLE_DATE_PR_CHANGE)</f>
        <v>45649.605891203704</v>
      </c>
      <c r="AC35" s="5461"/>
      <c r="AD35" s="5461"/>
      <c r="AE35" s="5461"/>
      <c r="AF35" s="5461"/>
      <c r="AG35" s="5461"/>
      <c r="AH35" s="5461"/>
      <c r="AI35" s="5461"/>
      <c r="AJ35" s="5461"/>
      <c r="AK35" s="5461"/>
      <c r="AL35" s="5461"/>
      <c r="AM35" s="5461"/>
      <c r="AN35" s="5461"/>
      <c r="AO35" s="5461"/>
      <c r="AP35" s="5461"/>
      <c r="AQ35" s="5461"/>
      <c r="AR35" s="5461"/>
      <c r="AS35" s="264"/>
      <c r="AT35" s="264"/>
      <c r="AU35" s="218"/>
      <c r="AV35" s="306"/>
      <c r="AW35" s="306"/>
      <c r="AX35" s="306"/>
      <c r="AY35" s="306"/>
      <c r="AZ35" s="306"/>
      <c r="BA35" s="356">
        <v>0</v>
      </c>
    </row>
    <row r="36" spans="1:53" s="4284" customFormat="1" ht="18" customHeight="1">
      <c r="A36" s="1289"/>
      <c r="B36" s="1289"/>
      <c r="C36" s="1289"/>
      <c r="D36" s="1289"/>
      <c r="E36" s="1289"/>
      <c r="F36" s="1289"/>
      <c r="G36" s="1289"/>
      <c r="H36" s="1289"/>
      <c r="I36" s="1289"/>
      <c r="J36" s="1289"/>
      <c r="K36" s="1289"/>
      <c r="L36" s="1290"/>
      <c r="M36" s="1289"/>
      <c r="N36" s="1289"/>
      <c r="O36" s="1289"/>
      <c r="P36" s="1289"/>
      <c r="Q36" s="1289"/>
      <c r="S36" s="5460" t="s">
        <v>515</v>
      </c>
      <c r="T36" s="5460"/>
      <c r="U36" s="1293"/>
      <c r="V36" s="5462" t="str">
        <f>IF(TITLE_NUMBER_PR_CHANGE="",IF(TITLE_NUMBER_PR="","",TITLE_NUMBER_PR),TITLE_NUMBER_PR_CHANGE)</f>
        <v>27-6414</v>
      </c>
      <c r="W36" s="5462"/>
      <c r="X36" s="5462"/>
      <c r="Y36" s="5462"/>
      <c r="Z36" s="5462"/>
      <c r="AA36" s="264"/>
      <c r="AB36" s="5462" t="str">
        <f>IF(TITLE_NUMBER_PR_CHANGE="",IF(TITLE_NUMBER_PR="","",TITLE_NUMBER_PR),TITLE_NUMBER_PR_CHANGE)</f>
        <v>27-6414</v>
      </c>
      <c r="AC36" s="5462"/>
      <c r="AD36" s="5462"/>
      <c r="AE36" s="5462"/>
      <c r="AF36" s="5462"/>
      <c r="AG36" s="5462"/>
      <c r="AH36" s="5462"/>
      <c r="AI36" s="5462"/>
      <c r="AJ36" s="5462"/>
      <c r="AK36" s="5462"/>
      <c r="AL36" s="5462"/>
      <c r="AM36" s="5462"/>
      <c r="AN36" s="5462"/>
      <c r="AO36" s="5462"/>
      <c r="AP36" s="5462"/>
      <c r="AQ36" s="5462"/>
      <c r="AR36" s="5462"/>
      <c r="AS36" s="264"/>
      <c r="AT36" s="264"/>
      <c r="AU36" s="218"/>
      <c r="AV36" s="306"/>
      <c r="AW36" s="306"/>
      <c r="AX36" s="306"/>
      <c r="AY36" s="306"/>
      <c r="AZ36" s="306"/>
      <c r="BA36" s="356">
        <v>0</v>
      </c>
    </row>
    <row r="37" spans="1:53" s="4284" customFormat="1" ht="1.1499999999999999" customHeight="1">
      <c r="A37" s="1289"/>
      <c r="B37" s="1289"/>
      <c r="C37" s="1289"/>
      <c r="D37" s="1289"/>
      <c r="E37" s="1289"/>
      <c r="F37" s="1289"/>
      <c r="G37" s="1289"/>
      <c r="H37" s="1289"/>
      <c r="I37" s="1289"/>
      <c r="J37" s="1289"/>
      <c r="K37" s="1289"/>
      <c r="L37" s="1290"/>
      <c r="M37" s="1289"/>
      <c r="N37" s="1289"/>
      <c r="O37" s="1289"/>
      <c r="P37" s="1289"/>
      <c r="Q37" s="1289"/>
      <c r="S37" s="261"/>
      <c r="T37" s="261"/>
      <c r="U37" s="1261"/>
      <c r="V37" s="264"/>
      <c r="W37" s="264"/>
      <c r="X37" s="264"/>
      <c r="Y37" s="264"/>
      <c r="Z37" s="264"/>
      <c r="AA37" s="216" t="s">
        <v>518</v>
      </c>
      <c r="AB37" s="264"/>
      <c r="AC37" s="264"/>
      <c r="AD37" s="264"/>
      <c r="AE37" s="264"/>
      <c r="AF37" s="264"/>
      <c r="AG37" s="264"/>
      <c r="AH37" s="264"/>
      <c r="AI37" s="264"/>
      <c r="AJ37" s="264"/>
      <c r="AK37" s="264"/>
      <c r="AL37" s="264"/>
      <c r="AM37" s="264"/>
      <c r="AN37" s="264"/>
      <c r="AO37" s="264"/>
      <c r="AP37" s="264"/>
      <c r="AQ37" s="264"/>
      <c r="AR37" s="264"/>
      <c r="AS37" s="216" t="s">
        <v>518</v>
      </c>
      <c r="AV37" s="306"/>
      <c r="AW37" s="306"/>
      <c r="AX37" s="306"/>
      <c r="AY37" s="306"/>
      <c r="AZ37" s="306"/>
      <c r="BA37" s="356">
        <v>1</v>
      </c>
    </row>
    <row r="38" spans="1:53" ht="14.65" customHeight="1">
      <c r="Q38" s="229"/>
      <c r="R38" s="314"/>
      <c r="S38" s="1196"/>
      <c r="T38" s="301"/>
      <c r="U38" s="1165"/>
      <c r="V38" s="5481"/>
      <c r="W38" s="5481"/>
      <c r="X38" s="5481"/>
      <c r="Y38" s="5481"/>
      <c r="Z38" s="5481"/>
      <c r="AA38" s="5481"/>
      <c r="AB38" s="5481"/>
      <c r="AC38" s="5481"/>
      <c r="AD38" s="5481"/>
      <c r="AE38" s="5481"/>
      <c r="AF38" s="5481"/>
      <c r="AG38" s="5481"/>
      <c r="AH38" s="5481"/>
      <c r="AI38" s="5481"/>
      <c r="AJ38" s="5481"/>
      <c r="AK38" s="5481"/>
      <c r="AL38" s="5481"/>
      <c r="AM38" s="5481"/>
      <c r="AN38" s="5481"/>
      <c r="AO38" s="5481"/>
      <c r="AP38" s="5481"/>
      <c r="AQ38" s="5481"/>
      <c r="AR38" s="5481"/>
      <c r="AS38" s="5481"/>
      <c r="BA38" s="1076">
        <v>14</v>
      </c>
    </row>
    <row r="39" spans="1:53" ht="14.65" customHeight="1">
      <c r="Q39" s="229"/>
      <c r="R39" s="314"/>
      <c r="S39" s="5328" t="s">
        <v>393</v>
      </c>
      <c r="T39" s="5328"/>
      <c r="U39" s="5328"/>
      <c r="V39" s="5328"/>
      <c r="W39" s="5328"/>
      <c r="X39" s="5328"/>
      <c r="Y39" s="5328"/>
      <c r="Z39" s="5328"/>
      <c r="AA39" s="5328"/>
      <c r="AB39" s="5403"/>
      <c r="AC39" s="5403"/>
      <c r="AD39" s="5403"/>
      <c r="AE39" s="5403"/>
      <c r="AF39" s="5328"/>
      <c r="AG39" s="5328"/>
      <c r="AH39" s="5328"/>
      <c r="AI39" s="5328"/>
      <c r="AJ39" s="5328"/>
      <c r="AK39" s="5328"/>
      <c r="AL39" s="5328"/>
      <c r="AM39" s="5328"/>
      <c r="AN39" s="5328"/>
      <c r="AO39" s="5328"/>
      <c r="AP39" s="5328"/>
      <c r="AQ39" s="5328"/>
      <c r="AR39" s="5328"/>
      <c r="AS39" s="5328"/>
      <c r="AT39" s="5328"/>
      <c r="AU39" s="5328" t="s">
        <v>394</v>
      </c>
      <c r="BA39" s="1076">
        <v>14</v>
      </c>
    </row>
    <row r="40" spans="1:53" ht="14.65" customHeight="1">
      <c r="Q40" s="229"/>
      <c r="R40" s="314"/>
      <c r="S40" s="5482" t="s">
        <v>88</v>
      </c>
      <c r="T40" s="5431" t="s">
        <v>563</v>
      </c>
      <c r="U40" s="239"/>
      <c r="V40" s="5484"/>
      <c r="W40" s="5484"/>
      <c r="X40" s="5484"/>
      <c r="Y40" s="5484"/>
      <c r="Z40" s="5485"/>
      <c r="AA40" s="5531" t="s">
        <v>521</v>
      </c>
      <c r="AB40" s="5515" t="s">
        <v>564</v>
      </c>
      <c r="AC40" s="5499"/>
      <c r="AD40" s="5499"/>
      <c r="AE40" s="5516"/>
      <c r="AF40" s="5499" t="s">
        <v>565</v>
      </c>
      <c r="AG40" s="5499"/>
      <c r="AH40" s="5499"/>
      <c r="AI40" s="5516"/>
      <c r="AJ40" s="5515" t="s">
        <v>566</v>
      </c>
      <c r="AK40" s="5499"/>
      <c r="AL40" s="5499"/>
      <c r="AM40" s="5516"/>
      <c r="AN40" s="5515" t="s">
        <v>520</v>
      </c>
      <c r="AO40" s="5499"/>
      <c r="AP40" s="5484"/>
      <c r="AQ40" s="5484"/>
      <c r="AR40" s="5485"/>
      <c r="AS40" s="5486" t="s">
        <v>521</v>
      </c>
      <c r="AT40" s="5489" t="s">
        <v>523</v>
      </c>
      <c r="AU40" s="5328"/>
      <c r="BA40" s="1076">
        <v>14</v>
      </c>
    </row>
    <row r="41" spans="1:53" ht="35.65" customHeight="1">
      <c r="Q41" s="229"/>
      <c r="R41" s="314"/>
      <c r="S41" s="5482"/>
      <c r="T41" s="5431"/>
      <c r="U41" s="956"/>
      <c r="V41" s="5328" t="s">
        <v>567</v>
      </c>
      <c r="W41" s="5328"/>
      <c r="X41" s="5404" t="s">
        <v>527</v>
      </c>
      <c r="Y41" s="5511"/>
      <c r="Z41" s="5405"/>
      <c r="AA41" s="5532"/>
      <c r="AB41" s="5517"/>
      <c r="AC41" s="5518"/>
      <c r="AD41" s="5518"/>
      <c r="AE41" s="5530"/>
      <c r="AF41" s="5518"/>
      <c r="AG41" s="5518"/>
      <c r="AH41" s="5518"/>
      <c r="AI41" s="5530"/>
      <c r="AJ41" s="5517"/>
      <c r="AK41" s="5518"/>
      <c r="AL41" s="5518"/>
      <c r="AM41" s="5518"/>
      <c r="AN41" s="5328" t="s">
        <v>567</v>
      </c>
      <c r="AO41" s="5328"/>
      <c r="AP41" s="5511" t="s">
        <v>527</v>
      </c>
      <c r="AQ41" s="5511"/>
      <c r="AR41" s="5405"/>
      <c r="AS41" s="5487"/>
      <c r="AT41" s="5490"/>
      <c r="AU41" s="5328"/>
      <c r="BA41" s="1076">
        <v>34</v>
      </c>
    </row>
    <row r="42" spans="1:53" ht="14.65" customHeight="1">
      <c r="Q42" s="229"/>
      <c r="R42" s="314"/>
      <c r="S42" s="5482"/>
      <c r="T42" s="5431"/>
      <c r="U42" s="956"/>
      <c r="V42" s="5535" t="str">
        <f>IF($AN$42&lt;&gt;"",$AN$42,"")</f>
        <v/>
      </c>
      <c r="W42" s="5535"/>
      <c r="X42" s="5409"/>
      <c r="Y42" s="5512"/>
      <c r="Z42" s="5410"/>
      <c r="AA42" s="5532"/>
      <c r="AB42" s="5517"/>
      <c r="AC42" s="5518"/>
      <c r="AD42" s="5518"/>
      <c r="AE42" s="5530"/>
      <c r="AF42" s="5518"/>
      <c r="AG42" s="5518"/>
      <c r="AH42" s="5518"/>
      <c r="AI42" s="5530"/>
      <c r="AJ42" s="5517"/>
      <c r="AK42" s="5518"/>
      <c r="AL42" s="5518"/>
      <c r="AM42" s="5518"/>
      <c r="AN42" s="5534"/>
      <c r="AO42" s="5534"/>
      <c r="AP42" s="5512"/>
      <c r="AQ42" s="5512"/>
      <c r="AR42" s="5410"/>
      <c r="AS42" s="5487"/>
      <c r="AT42" s="5490"/>
      <c r="AU42" s="5328"/>
      <c r="BA42" s="1076">
        <v>14</v>
      </c>
    </row>
    <row r="43" spans="1:53" ht="14.65" customHeight="1">
      <c r="A43" s="1291"/>
      <c r="B43" s="1291" t="s">
        <v>167</v>
      </c>
      <c r="C43" s="1291" t="s">
        <v>168</v>
      </c>
      <c r="D43" s="1291" t="s">
        <v>169</v>
      </c>
      <c r="E43" s="1285" t="s">
        <v>528</v>
      </c>
      <c r="F43" s="1285" t="s">
        <v>529</v>
      </c>
      <c r="G43" s="1285" t="s">
        <v>530</v>
      </c>
      <c r="H43" s="1285" t="s">
        <v>531</v>
      </c>
      <c r="I43" s="1285" t="s">
        <v>532</v>
      </c>
      <c r="J43" s="1285" t="s">
        <v>533</v>
      </c>
      <c r="K43" s="1285" t="s">
        <v>534</v>
      </c>
      <c r="L43" s="1285" t="s">
        <v>509</v>
      </c>
      <c r="Q43" s="229"/>
      <c r="R43" s="314"/>
      <c r="S43" s="5482"/>
      <c r="T43" s="5431"/>
      <c r="U43" s="240"/>
      <c r="V43" s="1251" t="s">
        <v>568</v>
      </c>
      <c r="W43" s="1251" t="s">
        <v>569</v>
      </c>
      <c r="X43" s="1259" t="s">
        <v>537</v>
      </c>
      <c r="Y43" s="5436" t="s">
        <v>538</v>
      </c>
      <c r="Z43" s="5449"/>
      <c r="AA43" s="5533"/>
      <c r="AB43" s="5519"/>
      <c r="AC43" s="5520"/>
      <c r="AD43" s="5520"/>
      <c r="AE43" s="5521"/>
      <c r="AF43" s="5520"/>
      <c r="AG43" s="5520"/>
      <c r="AH43" s="5520"/>
      <c r="AI43" s="5521"/>
      <c r="AJ43" s="5519"/>
      <c r="AK43" s="5520"/>
      <c r="AL43" s="5520"/>
      <c r="AM43" s="5521"/>
      <c r="AN43" s="1778" t="s">
        <v>568</v>
      </c>
      <c r="AO43" s="1778" t="s">
        <v>569</v>
      </c>
      <c r="AP43" s="1259" t="s">
        <v>537</v>
      </c>
      <c r="AQ43" s="5436" t="s">
        <v>538</v>
      </c>
      <c r="AR43" s="5449"/>
      <c r="AS43" s="5488"/>
      <c r="AT43" s="5491"/>
      <c r="AU43" s="5328"/>
      <c r="BA43" s="1076">
        <v>14</v>
      </c>
    </row>
    <row r="44" spans="1:53" s="4299" customFormat="1" ht="11.25" hidden="1" customHeight="1">
      <c r="A44" s="1291"/>
      <c r="B44" s="1291"/>
      <c r="C44" s="1291"/>
      <c r="D44" s="1291"/>
      <c r="E44" s="1291"/>
      <c r="F44" s="1291"/>
      <c r="G44" s="1291"/>
      <c r="H44" s="1291"/>
      <c r="I44" s="1291"/>
      <c r="J44" s="1291"/>
      <c r="K44" s="1291"/>
      <c r="L44" s="1285"/>
      <c r="M44" s="1283"/>
      <c r="N44" s="1283"/>
      <c r="O44" s="1283"/>
      <c r="P44" s="448"/>
      <c r="Q44" s="1175"/>
      <c r="R44" s="1175">
        <v>1</v>
      </c>
      <c r="S44" s="1198" t="s">
        <v>136</v>
      </c>
      <c r="T44" s="1176" t="s">
        <v>103</v>
      </c>
      <c r="U44" s="1166" t="str">
        <f ca="1">OFFSET(U44,0,-1)</f>
        <v>2</v>
      </c>
      <c r="V44" s="1256">
        <f ca="1">OFFSET(V44,0,-1)+1</f>
        <v>3</v>
      </c>
      <c r="W44" s="1256">
        <f ca="1">OFFSET(W44,0,-1)+1</f>
        <v>4</v>
      </c>
      <c r="X44" s="1256">
        <f ca="1">OFFSET(X44,0,-1)+1</f>
        <v>5</v>
      </c>
      <c r="Y44" s="5480">
        <f ca="1">OFFSET(Y44,0,-1)+1</f>
        <v>6</v>
      </c>
      <c r="Z44" s="5480"/>
      <c r="AA44" s="1256">
        <f ca="1">OFFSET(AA44,0,-2)+1</f>
        <v>7</v>
      </c>
      <c r="AB44" s="1262">
        <f ca="1">OFFSET(AB44,0,-1)+1</f>
        <v>8</v>
      </c>
      <c r="AC44" s="1262"/>
      <c r="AD44" s="1262"/>
      <c r="AE44" s="1262"/>
      <c r="AF44" s="1256"/>
      <c r="AG44" s="1256"/>
      <c r="AH44" s="1256"/>
      <c r="AI44" s="1256"/>
      <c r="AJ44" s="1256"/>
      <c r="AK44" s="1256"/>
      <c r="AL44" s="1256"/>
      <c r="AM44" s="1256"/>
      <c r="AN44" s="1256">
        <f ca="1">OFFSET(AN44,0,-1)+1</f>
        <v>1</v>
      </c>
      <c r="AO44" s="1256">
        <f ca="1">OFFSET(AO44,0,-1)+1</f>
        <v>2</v>
      </c>
      <c r="AP44" s="1256">
        <f ca="1">OFFSET(AP44,0,-1)+1</f>
        <v>3</v>
      </c>
      <c r="AQ44" s="5480">
        <f ca="1">OFFSET(AQ44,0,-1)+1</f>
        <v>4</v>
      </c>
      <c r="AR44" s="5480"/>
      <c r="AS44" s="1256">
        <f ca="1">OFFSET(AS44,0,-2)+1</f>
        <v>5</v>
      </c>
      <c r="AT44" s="1166">
        <f ca="1">OFFSET(AT44,0,-1)</f>
        <v>5</v>
      </c>
      <c r="AU44" s="1256">
        <f ca="1">OFFSET(AU44,0,-1)+1</f>
        <v>6</v>
      </c>
      <c r="AV44" s="449"/>
      <c r="AW44" s="449"/>
      <c r="AX44" s="449"/>
      <c r="AY44" s="449"/>
      <c r="AZ44" s="449"/>
      <c r="BA44" s="434">
        <v>0</v>
      </c>
    </row>
    <row r="45" spans="1:53" ht="107.25" customHeight="1">
      <c r="A45" s="1284" t="s">
        <v>229</v>
      </c>
      <c r="B45" s="1284"/>
      <c r="C45" s="1284"/>
      <c r="D45" s="1284"/>
      <c r="E45" s="5469">
        <v>1</v>
      </c>
      <c r="F45" s="1284"/>
      <c r="G45" s="1284"/>
      <c r="H45" s="1284"/>
      <c r="I45" s="1284"/>
      <c r="J45" s="1284"/>
      <c r="K45" s="1284"/>
      <c r="L45" s="1285"/>
      <c r="M45" s="1286"/>
      <c r="N45" s="1286"/>
      <c r="O45" s="1286"/>
      <c r="P45" s="1330"/>
      <c r="Q45" s="801"/>
      <c r="R45" s="293"/>
      <c r="S45" s="1257">
        <f>INDEX(PT_DIFFERENTIATION_NUM_NTAR,MATCH(A45,PT_DIFFERENTIATION_NTAR_ID,0))</f>
        <v>0</v>
      </c>
      <c r="T45" s="236" t="s">
        <v>155</v>
      </c>
      <c r="U45" s="238"/>
      <c r="V45" s="5464"/>
      <c r="W45" s="5464"/>
      <c r="X45" s="5464"/>
      <c r="Y45" s="5464"/>
      <c r="Z45" s="5464"/>
      <c r="AA45" s="5465"/>
      <c r="AB45" s="5463" t="str">
        <f>INDEX(PT_DIFFERENTIATION_NTAR,MATCH(A45,PT_DIFFERENTIATION_NTAR_ID,0))</f>
        <v/>
      </c>
      <c r="AC45" s="5464"/>
      <c r="AD45" s="5464"/>
      <c r="AE45" s="5464"/>
      <c r="AF45" s="5464"/>
      <c r="AG45" s="5464"/>
      <c r="AH45" s="5464"/>
      <c r="AI45" s="5464"/>
      <c r="AJ45" s="5464"/>
      <c r="AK45" s="5464"/>
      <c r="AL45" s="5464"/>
      <c r="AM45" s="5464"/>
      <c r="AN45" s="5464"/>
      <c r="AO45" s="5464"/>
      <c r="AP45" s="5464"/>
      <c r="AQ45" s="5464"/>
      <c r="AR45" s="5464"/>
      <c r="AS45" s="5464"/>
      <c r="AT45" s="5465"/>
      <c r="AU45"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76">
        <v>102</v>
      </c>
    </row>
    <row r="46" spans="1:53" ht="21.95" customHeight="1">
      <c r="A46" s="1284" t="s">
        <v>229</v>
      </c>
      <c r="B46" s="1284" t="s">
        <v>230</v>
      </c>
      <c r="C46" s="1284"/>
      <c r="D46" s="1284"/>
      <c r="E46" s="5470"/>
      <c r="F46" s="5469">
        <v>1</v>
      </c>
      <c r="G46" s="1284"/>
      <c r="H46" s="1284"/>
      <c r="I46" s="1284"/>
      <c r="J46" s="1284"/>
      <c r="K46" s="1284"/>
      <c r="L46" s="1285"/>
      <c r="M46" s="1286"/>
      <c r="N46" s="1286"/>
      <c r="O46" s="1286"/>
      <c r="P46" s="1331"/>
      <c r="Q46" s="1332"/>
      <c r="R46" s="291"/>
      <c r="S46" s="1257" t="str">
        <f>INDEX(PT_DIFFERENTIATION_NUM_TER,MATCH(B46,PT_DIFFERENTIATION_TER_ID,0))</f>
        <v>.</v>
      </c>
      <c r="T46" s="246" t="s">
        <v>490</v>
      </c>
      <c r="U46" s="238"/>
      <c r="V46" s="5464"/>
      <c r="W46" s="5464"/>
      <c r="X46" s="5464"/>
      <c r="Y46" s="5464"/>
      <c r="Z46" s="5464"/>
      <c r="AA46" s="5465"/>
      <c r="AB46" s="5463" t="str">
        <f>INDEX(PT_DIFFERENTIATION_TER,MATCH(B46,PT_DIFFERENTIATION_TER_ID,0))</f>
        <v/>
      </c>
      <c r="AC46" s="5464"/>
      <c r="AD46" s="5464"/>
      <c r="AE46" s="5464"/>
      <c r="AF46" s="5464"/>
      <c r="AG46" s="5464"/>
      <c r="AH46" s="5464"/>
      <c r="AI46" s="5464"/>
      <c r="AJ46" s="5464"/>
      <c r="AK46" s="5464"/>
      <c r="AL46" s="5464"/>
      <c r="AM46" s="5464"/>
      <c r="AN46" s="5464"/>
      <c r="AO46" s="5464"/>
      <c r="AP46" s="5464"/>
      <c r="AQ46" s="5464"/>
      <c r="AR46" s="5464"/>
      <c r="AS46" s="5464"/>
      <c r="AT46" s="5465"/>
      <c r="AU46" s="1179" t="s">
        <v>491</v>
      </c>
      <c r="AW46" s="438"/>
      <c r="AX46" s="438" t="str">
        <f t="shared" si="2"/>
        <v>Территория действия тарифа</v>
      </c>
      <c r="AY46" s="438"/>
      <c r="AZ46" s="438"/>
      <c r="BA46" s="1076">
        <v>21</v>
      </c>
    </row>
    <row r="47" spans="1:53" ht="24" customHeight="1">
      <c r="A47" s="1284" t="s">
        <v>229</v>
      </c>
      <c r="B47" s="1284" t="s">
        <v>230</v>
      </c>
      <c r="C47" s="1284" t="s">
        <v>231</v>
      </c>
      <c r="D47" s="1284"/>
      <c r="E47" s="5470"/>
      <c r="F47" s="5470"/>
      <c r="G47" s="5469">
        <v>1</v>
      </c>
      <c r="H47" s="1284"/>
      <c r="I47" s="1284"/>
      <c r="J47" s="1284"/>
      <c r="K47" s="1284"/>
      <c r="L47" s="1285"/>
      <c r="M47" s="1286"/>
      <c r="N47" s="1286"/>
      <c r="O47" s="1286"/>
      <c r="P47" s="1333"/>
      <c r="Q47" s="1332"/>
      <c r="R47" s="291"/>
      <c r="S47" s="1257" t="str">
        <f>INDEX(PT_DIFFERENTIATION_NUM_CS,MATCH(C47,PT_DIFFERENTIATION_CS_ID,0))</f>
        <v>..</v>
      </c>
      <c r="T47" s="247" t="s">
        <v>492</v>
      </c>
      <c r="U47" s="238"/>
      <c r="V47" s="5464"/>
      <c r="W47" s="5464"/>
      <c r="X47" s="5464"/>
      <c r="Y47" s="5464"/>
      <c r="Z47" s="5464"/>
      <c r="AA47" s="5465"/>
      <c r="AB47" s="5463" t="str">
        <f>INDEX(PT_DIFFERENTIATION_CS,MATCH(C47,PT_DIFFERENTIATION_CS_ID,0))</f>
        <v/>
      </c>
      <c r="AC47" s="5464"/>
      <c r="AD47" s="5464"/>
      <c r="AE47" s="5464"/>
      <c r="AF47" s="5464"/>
      <c r="AG47" s="5464"/>
      <c r="AH47" s="5464"/>
      <c r="AI47" s="5464"/>
      <c r="AJ47" s="5464"/>
      <c r="AK47" s="5464"/>
      <c r="AL47" s="5464"/>
      <c r="AM47" s="5464"/>
      <c r="AN47" s="5464"/>
      <c r="AO47" s="5464"/>
      <c r="AP47" s="5464"/>
      <c r="AQ47" s="5464"/>
      <c r="AR47" s="5464"/>
      <c r="AS47" s="5464"/>
      <c r="AT47" s="5465"/>
      <c r="AU47" s="1179" t="s">
        <v>493</v>
      </c>
      <c r="AW47" s="438"/>
      <c r="AX47" s="438" t="str">
        <f t="shared" si="2"/>
        <v xml:space="preserve">Наименование системы теплоснабжения </v>
      </c>
      <c r="AY47" s="438"/>
      <c r="AZ47" s="438"/>
      <c r="BA47" s="1076">
        <v>23</v>
      </c>
    </row>
    <row r="48" spans="1:53" ht="21" customHeight="1">
      <c r="A48" s="1284" t="s">
        <v>229</v>
      </c>
      <c r="B48" s="1284" t="s">
        <v>230</v>
      </c>
      <c r="C48" s="1284" t="s">
        <v>231</v>
      </c>
      <c r="D48" s="1284" t="s">
        <v>232</v>
      </c>
      <c r="E48" s="5470"/>
      <c r="F48" s="5470"/>
      <c r="G48" s="5470"/>
      <c r="H48" s="5469">
        <v>1</v>
      </c>
      <c r="I48" s="1284"/>
      <c r="J48" s="1284"/>
      <c r="K48" s="1284"/>
      <c r="L48" s="1285"/>
      <c r="M48" s="1286"/>
      <c r="N48" s="1286"/>
      <c r="O48" s="1286"/>
      <c r="P48" s="1333"/>
      <c r="Q48" s="1332"/>
      <c r="R48" s="291"/>
      <c r="S48" s="1257" t="str">
        <f>INDEX(PT_DIFFERENTIATION_NUM_IST_TE,MATCH(D48,PT_DIFFERENTIATION_IST_TE_ID,0))</f>
        <v>...</v>
      </c>
      <c r="T48" s="248" t="s">
        <v>494</v>
      </c>
      <c r="U48" s="238"/>
      <c r="V48" s="5464"/>
      <c r="W48" s="5464"/>
      <c r="X48" s="5464"/>
      <c r="Y48" s="5464"/>
      <c r="Z48" s="5464"/>
      <c r="AA48" s="5465"/>
      <c r="AB48" s="5463" t="str">
        <f>INDEX(PT_DIFFERENTIATION_IST_TE,MATCH(D48,PT_DIFFERENTIATION_IST_TE_ID,0))</f>
        <v/>
      </c>
      <c r="AC48" s="5464"/>
      <c r="AD48" s="5464"/>
      <c r="AE48" s="5464"/>
      <c r="AF48" s="5464"/>
      <c r="AG48" s="5464"/>
      <c r="AH48" s="5464"/>
      <c r="AI48" s="5464"/>
      <c r="AJ48" s="5464"/>
      <c r="AK48" s="5464"/>
      <c r="AL48" s="5464"/>
      <c r="AM48" s="5464"/>
      <c r="AN48" s="5464"/>
      <c r="AO48" s="5464"/>
      <c r="AP48" s="5464"/>
      <c r="AQ48" s="5464"/>
      <c r="AR48" s="5464"/>
      <c r="AS48" s="5464"/>
      <c r="AT48" s="5465"/>
      <c r="AU48" s="1179" t="s">
        <v>495</v>
      </c>
      <c r="AW48" s="438"/>
      <c r="AX48" s="438" t="str">
        <f t="shared" si="2"/>
        <v xml:space="preserve">Источник тепловой энергии  </v>
      </c>
      <c r="AY48" s="438"/>
      <c r="AZ48" s="438"/>
      <c r="BA48" s="1076">
        <v>20</v>
      </c>
    </row>
    <row r="49" spans="1:53" s="4275" customFormat="1" ht="1.1499999999999999" customHeight="1">
      <c r="A49" s="1264" t="s">
        <v>229</v>
      </c>
      <c r="B49" s="1264" t="s">
        <v>230</v>
      </c>
      <c r="C49" s="1264" t="s">
        <v>231</v>
      </c>
      <c r="D49" s="1264" t="s">
        <v>232</v>
      </c>
      <c r="E49" s="5470"/>
      <c r="F49" s="5470"/>
      <c r="G49" s="5470"/>
      <c r="H49" s="5470"/>
      <c r="I49" s="5471" t="str">
        <f>S48&amp;".1"</f>
        <v>....1</v>
      </c>
      <c r="J49" s="1264"/>
      <c r="K49" s="1264"/>
      <c r="L49" s="1267" t="s">
        <v>496</v>
      </c>
      <c r="M49" s="448"/>
      <c r="N49" s="448"/>
      <c r="O49" s="448"/>
      <c r="P49" s="5473">
        <v>1</v>
      </c>
      <c r="Q49" s="1252"/>
      <c r="R49" s="294"/>
      <c r="S49" s="967"/>
      <c r="T49" s="1304"/>
      <c r="U49" s="1305"/>
      <c r="V49" s="5501"/>
      <c r="W49" s="5501"/>
      <c r="X49" s="5501"/>
      <c r="Y49" s="5501"/>
      <c r="Z49" s="5501"/>
      <c r="AA49" s="5502"/>
      <c r="AB49" s="5500"/>
      <c r="AC49" s="5501"/>
      <c r="AD49" s="5501"/>
      <c r="AE49" s="5501"/>
      <c r="AF49" s="5501"/>
      <c r="AG49" s="5501"/>
      <c r="AH49" s="5501"/>
      <c r="AI49" s="5501"/>
      <c r="AJ49" s="5501"/>
      <c r="AK49" s="5501"/>
      <c r="AL49" s="5501"/>
      <c r="AM49" s="5501"/>
      <c r="AN49" s="5501"/>
      <c r="AO49" s="5501"/>
      <c r="AP49" s="5501"/>
      <c r="AQ49" s="5501"/>
      <c r="AR49" s="5501"/>
      <c r="AS49" s="5501"/>
      <c r="AT49" s="5502"/>
      <c r="AU49" s="1306"/>
      <c r="AW49" s="438"/>
      <c r="AX49" s="438" t="str">
        <f t="shared" si="2"/>
        <v/>
      </c>
      <c r="AY49" s="438"/>
      <c r="AZ49" s="438"/>
      <c r="BA49" s="449">
        <v>1</v>
      </c>
    </row>
    <row r="50" spans="1:53" s="4275" customFormat="1" ht="1.1499999999999999" customHeight="1">
      <c r="A50" s="1264" t="s">
        <v>229</v>
      </c>
      <c r="B50" s="1264" t="s">
        <v>230</v>
      </c>
      <c r="C50" s="1264" t="s">
        <v>231</v>
      </c>
      <c r="D50" s="1264" t="s">
        <v>232</v>
      </c>
      <c r="E50" s="5470"/>
      <c r="F50" s="5470"/>
      <c r="G50" s="5470"/>
      <c r="H50" s="5470"/>
      <c r="I50" s="5472"/>
      <c r="J50" s="5471" t="str">
        <f>S48&amp;".1"</f>
        <v>....1</v>
      </c>
      <c r="K50" s="1264"/>
      <c r="L50" s="1267"/>
      <c r="M50" s="448"/>
      <c r="N50" s="448"/>
      <c r="O50" s="448"/>
      <c r="P50" s="5473"/>
      <c r="Q50" s="5473">
        <v>1</v>
      </c>
      <c r="R50" s="295"/>
      <c r="S50" s="967"/>
      <c r="T50" s="1320"/>
      <c r="U50" s="1305"/>
      <c r="V50" s="5501"/>
      <c r="W50" s="5501"/>
      <c r="X50" s="5501"/>
      <c r="Y50" s="5501"/>
      <c r="Z50" s="5501"/>
      <c r="AA50" s="5502"/>
      <c r="AB50" s="5500"/>
      <c r="AC50" s="5501"/>
      <c r="AD50" s="5501"/>
      <c r="AE50" s="5501"/>
      <c r="AF50" s="5501"/>
      <c r="AG50" s="5501"/>
      <c r="AH50" s="5501"/>
      <c r="AI50" s="5501"/>
      <c r="AJ50" s="5501"/>
      <c r="AK50" s="5501"/>
      <c r="AL50" s="5501"/>
      <c r="AM50" s="5501"/>
      <c r="AN50" s="5501"/>
      <c r="AO50" s="5501"/>
      <c r="AP50" s="5501"/>
      <c r="AQ50" s="5501"/>
      <c r="AR50" s="5501"/>
      <c r="AS50" s="5501"/>
      <c r="AT50" s="5502"/>
      <c r="AU50" s="1306"/>
      <c r="AW50" s="438"/>
      <c r="AX50" s="438" t="str">
        <f t="shared" si="2"/>
        <v/>
      </c>
      <c r="AY50" s="438"/>
      <c r="AZ50" s="438"/>
      <c r="BA50" s="449">
        <v>1</v>
      </c>
    </row>
    <row r="51" spans="1:53" ht="21.95" customHeight="1">
      <c r="A51" s="1284" t="s">
        <v>229</v>
      </c>
      <c r="B51" s="1284" t="s">
        <v>230</v>
      </c>
      <c r="C51" s="1284" t="s">
        <v>231</v>
      </c>
      <c r="D51" s="1284" t="s">
        <v>232</v>
      </c>
      <c r="E51" s="5470"/>
      <c r="F51" s="5470"/>
      <c r="G51" s="5470"/>
      <c r="H51" s="5470"/>
      <c r="I51" s="5472"/>
      <c r="J51" s="5472"/>
      <c r="K51" s="5471" t="str">
        <f>S48&amp;".1"</f>
        <v>....1</v>
      </c>
      <c r="L51" s="1285"/>
      <c r="P51" s="5473"/>
      <c r="Q51" s="5473"/>
      <c r="R51" s="295">
        <v>1</v>
      </c>
      <c r="S51" s="5526" t="str">
        <f>$K51</f>
        <v>....1</v>
      </c>
      <c r="T51" s="5523"/>
      <c r="U51" s="238"/>
      <c r="V51" s="689"/>
      <c r="W51" s="1178"/>
      <c r="X51" s="1654"/>
      <c r="Y51" s="1380" t="s">
        <v>66</v>
      </c>
      <c r="Z51" s="1654"/>
      <c r="AA51" s="1380" t="s">
        <v>66</v>
      </c>
      <c r="AB51" s="5338" t="s">
        <v>19</v>
      </c>
      <c r="AC51" s="5522"/>
      <c r="AD51" s="5427">
        <v>1</v>
      </c>
      <c r="AE51" s="5514" t="s">
        <v>28</v>
      </c>
      <c r="AF51" s="5338" t="s">
        <v>19</v>
      </c>
      <c r="AG51" s="5522"/>
      <c r="AH51" s="5427">
        <v>1</v>
      </c>
      <c r="AI51" s="5514" t="s">
        <v>28</v>
      </c>
      <c r="AJ51" s="5338" t="s">
        <v>19</v>
      </c>
      <c r="AK51" s="249"/>
      <c r="AL51" s="1258">
        <v>1</v>
      </c>
      <c r="AM51" s="1323"/>
      <c r="AN51" s="689"/>
      <c r="AO51" s="1178"/>
      <c r="AP51" s="1654"/>
      <c r="AQ51" s="1380" t="s">
        <v>66</v>
      </c>
      <c r="AR51" s="1654"/>
      <c r="AS51" s="1380" t="s">
        <v>66</v>
      </c>
      <c r="AT51" s="1269"/>
      <c r="AU51" s="5492" t="s">
        <v>570</v>
      </c>
      <c r="AV51" s="449" t="e">
        <f ca="1">STRCHECKDATE(V54:AT54)</f>
        <v>#NAME?</v>
      </c>
      <c r="AW51" s="438"/>
      <c r="AX51" s="438" t="str">
        <f t="shared" si="2"/>
        <v/>
      </c>
      <c r="AY51" s="438"/>
      <c r="AZ51" s="438"/>
      <c r="BA51" s="1076">
        <v>21</v>
      </c>
    </row>
    <row r="52" spans="1:53" ht="11.45" customHeight="1">
      <c r="A52" s="1284" t="s">
        <v>229</v>
      </c>
      <c r="B52" s="1284"/>
      <c r="C52" s="1284"/>
      <c r="D52" s="1284"/>
      <c r="E52" s="5470"/>
      <c r="F52" s="5470"/>
      <c r="G52" s="5470"/>
      <c r="H52" s="5470"/>
      <c r="I52" s="5472"/>
      <c r="J52" s="5472"/>
      <c r="K52" s="5471"/>
      <c r="L52" s="1285"/>
      <c r="P52" s="5473"/>
      <c r="Q52" s="5473"/>
      <c r="R52" s="295"/>
      <c r="S52" s="5527"/>
      <c r="T52" s="5524"/>
      <c r="U52" s="238"/>
      <c r="V52" s="1314"/>
      <c r="W52" s="1417"/>
      <c r="X52" s="1314"/>
      <c r="Y52" s="1314"/>
      <c r="Z52" s="1314"/>
      <c r="AA52" s="1314"/>
      <c r="AB52" s="5338"/>
      <c r="AC52" s="5522"/>
      <c r="AD52" s="5427"/>
      <c r="AE52" s="5514"/>
      <c r="AF52" s="5338"/>
      <c r="AG52" s="5522"/>
      <c r="AH52" s="5427"/>
      <c r="AI52" s="5514"/>
      <c r="AJ52" s="5338"/>
      <c r="AK52" s="254"/>
      <c r="AL52" s="354"/>
      <c r="AM52" s="353" t="s">
        <v>555</v>
      </c>
      <c r="AN52" s="1314"/>
      <c r="AO52" s="1417"/>
      <c r="AP52" s="1314"/>
      <c r="AQ52" s="1314"/>
      <c r="AR52" s="1314"/>
      <c r="AS52" s="1314"/>
      <c r="AT52" s="1311"/>
      <c r="AU52" s="5493"/>
      <c r="AW52" s="438"/>
      <c r="AX52" s="438"/>
      <c r="AY52" s="438"/>
      <c r="AZ52" s="438"/>
      <c r="BA52" s="1076">
        <v>11</v>
      </c>
    </row>
    <row r="53" spans="1:53" ht="11.45" customHeight="1">
      <c r="A53" s="1284" t="s">
        <v>229</v>
      </c>
      <c r="B53" s="1284"/>
      <c r="C53" s="1284"/>
      <c r="D53" s="1284"/>
      <c r="E53" s="5470"/>
      <c r="F53" s="5470"/>
      <c r="G53" s="5470"/>
      <c r="H53" s="5470"/>
      <c r="I53" s="5472"/>
      <c r="J53" s="5472"/>
      <c r="K53" s="5471"/>
      <c r="L53" s="1285"/>
      <c r="P53" s="5473"/>
      <c r="Q53" s="5473"/>
      <c r="R53" s="295"/>
      <c r="S53" s="5527"/>
      <c r="T53" s="5524"/>
      <c r="U53" s="238"/>
      <c r="V53" s="1314"/>
      <c r="W53" s="1417"/>
      <c r="X53" s="1314"/>
      <c r="Y53" s="1314"/>
      <c r="Z53" s="1314"/>
      <c r="AA53" s="1314"/>
      <c r="AB53" s="5338"/>
      <c r="AC53" s="5522"/>
      <c r="AD53" s="5427"/>
      <c r="AE53" s="5514"/>
      <c r="AF53" s="5338"/>
      <c r="AG53" s="232"/>
      <c r="AH53" s="353"/>
      <c r="AI53" s="353" t="s">
        <v>556</v>
      </c>
      <c r="AJ53" s="1314"/>
      <c r="AK53" s="1314"/>
      <c r="AL53" s="1314"/>
      <c r="AM53" s="1314"/>
      <c r="AN53" s="1314"/>
      <c r="AO53" s="1417"/>
      <c r="AP53" s="1314"/>
      <c r="AQ53" s="1314"/>
      <c r="AR53" s="1314"/>
      <c r="AS53" s="1314"/>
      <c r="AT53" s="1311"/>
      <c r="AU53" s="5493"/>
      <c r="AW53" s="438"/>
      <c r="AX53" s="438"/>
      <c r="AY53" s="438"/>
      <c r="AZ53" s="438"/>
      <c r="BA53" s="1076">
        <v>11</v>
      </c>
    </row>
    <row r="54" spans="1:53" ht="11.45" customHeight="1">
      <c r="A54" s="1284" t="s">
        <v>229</v>
      </c>
      <c r="B54" s="1284" t="s">
        <v>230</v>
      </c>
      <c r="C54" s="1284" t="s">
        <v>231</v>
      </c>
      <c r="D54" s="1284" t="s">
        <v>232</v>
      </c>
      <c r="E54" s="5470"/>
      <c r="F54" s="5470"/>
      <c r="G54" s="5470"/>
      <c r="H54" s="5470"/>
      <c r="I54" s="5472"/>
      <c r="J54" s="5472"/>
      <c r="K54" s="5471"/>
      <c r="L54" s="1285"/>
      <c r="P54" s="5473"/>
      <c r="Q54" s="5473"/>
      <c r="R54" s="295"/>
      <c r="S54" s="5528"/>
      <c r="T54" s="5525"/>
      <c r="U54" s="238"/>
      <c r="V54" s="1314"/>
      <c r="W54" s="1315" t="str">
        <f>X51&amp;"-"&amp;Z51</f>
        <v>-</v>
      </c>
      <c r="X54" s="1314"/>
      <c r="Y54" s="1314"/>
      <c r="Z54" s="1314"/>
      <c r="AA54" s="1314"/>
      <c r="AB54" s="5338"/>
      <c r="AC54" s="250"/>
      <c r="AD54" s="252"/>
      <c r="AE54" s="353" t="s">
        <v>557</v>
      </c>
      <c r="AF54" s="1314"/>
      <c r="AG54" s="1314"/>
      <c r="AH54" s="1314"/>
      <c r="AI54" s="1314"/>
      <c r="AJ54" s="1314"/>
      <c r="AK54" s="1314"/>
      <c r="AL54" s="1314"/>
      <c r="AM54" s="1314"/>
      <c r="AN54" s="1314"/>
      <c r="AO54" s="1315" t="str">
        <f>AP51&amp;"-"&amp;AR51</f>
        <v>-</v>
      </c>
      <c r="AP54" s="1314"/>
      <c r="AQ54" s="1314"/>
      <c r="AR54" s="1314"/>
      <c r="AS54" s="1314"/>
      <c r="AT54" s="1270"/>
      <c r="AU54" s="5493"/>
      <c r="AW54" s="438"/>
      <c r="AX54" s="438" t="str">
        <f t="shared" ref="AX54:AX62" si="3">IF(T54="","",T54)</f>
        <v/>
      </c>
      <c r="AY54" s="438"/>
      <c r="AZ54" s="438"/>
      <c r="BA54" s="1076">
        <v>11</v>
      </c>
    </row>
    <row r="55" spans="1:53" ht="11.45" customHeight="1">
      <c r="A55" s="1284" t="s">
        <v>229</v>
      </c>
      <c r="B55" s="1284" t="s">
        <v>230</v>
      </c>
      <c r="C55" s="1284" t="s">
        <v>231</v>
      </c>
      <c r="D55" s="1284" t="s">
        <v>232</v>
      </c>
      <c r="E55" s="5470"/>
      <c r="F55" s="5470"/>
      <c r="G55" s="5470"/>
      <c r="H55" s="5470"/>
      <c r="I55" s="5472"/>
      <c r="J55" s="5471"/>
      <c r="K55" s="1284"/>
      <c r="L55" s="1285"/>
      <c r="P55" s="5473"/>
      <c r="Q55" s="5473"/>
      <c r="R55" s="294"/>
      <c r="S55" s="1199"/>
      <c r="T55" s="225" t="s">
        <v>558</v>
      </c>
      <c r="U55" s="305"/>
      <c r="V55" s="305"/>
      <c r="W55" s="305"/>
      <c r="X55" s="305"/>
      <c r="Y55" s="305"/>
      <c r="Z55" s="305"/>
      <c r="AA55" s="262"/>
      <c r="AB55" s="1426"/>
      <c r="AC55" s="305"/>
      <c r="AD55" s="305"/>
      <c r="AE55" s="305"/>
      <c r="AF55" s="305"/>
      <c r="AG55" s="305"/>
      <c r="AH55" s="305"/>
      <c r="AI55" s="305"/>
      <c r="AJ55" s="305"/>
      <c r="AK55" s="305"/>
      <c r="AL55" s="305"/>
      <c r="AM55" s="305"/>
      <c r="AN55" s="305"/>
      <c r="AO55" s="305"/>
      <c r="AP55" s="305"/>
      <c r="AQ55" s="305"/>
      <c r="AR55" s="305"/>
      <c r="AS55" s="305"/>
      <c r="AT55" s="262"/>
      <c r="AU55" s="5494"/>
      <c r="AW55" s="438"/>
      <c r="AX55" s="438" t="str">
        <f t="shared" si="3"/>
        <v>Добавить строку</v>
      </c>
      <c r="AY55" s="438"/>
      <c r="AZ55" s="438"/>
      <c r="BA55" s="1076">
        <v>11</v>
      </c>
    </row>
    <row r="56" spans="1:53" s="4275" customFormat="1" ht="1.1499999999999999" customHeight="1">
      <c r="A56" s="1264" t="s">
        <v>229</v>
      </c>
      <c r="B56" s="1264" t="s">
        <v>230</v>
      </c>
      <c r="C56" s="1264" t="s">
        <v>231</v>
      </c>
      <c r="D56" s="1264" t="s">
        <v>232</v>
      </c>
      <c r="E56" s="5470"/>
      <c r="F56" s="5470"/>
      <c r="G56" s="5470"/>
      <c r="H56" s="5470"/>
      <c r="I56" s="5471"/>
      <c r="J56" s="1264"/>
      <c r="K56" s="1264"/>
      <c r="L56" s="1267"/>
      <c r="M56" s="448"/>
      <c r="N56" s="448"/>
      <c r="O56" s="448"/>
      <c r="P56" s="5473"/>
      <c r="Q56" s="1252"/>
      <c r="R56" s="294"/>
      <c r="S56" s="1307"/>
      <c r="T56" s="1308" t="s">
        <v>505</v>
      </c>
      <c r="U56" s="1309"/>
      <c r="V56" s="1309"/>
      <c r="W56" s="1309"/>
      <c r="X56" s="1309"/>
      <c r="Y56" s="1309"/>
      <c r="Z56" s="1309"/>
      <c r="AA56" s="1309"/>
      <c r="AB56" s="1309"/>
      <c r="AC56" s="1309"/>
      <c r="AD56" s="1309"/>
      <c r="AE56" s="1309"/>
      <c r="AF56" s="1309"/>
      <c r="AG56" s="1309"/>
      <c r="AH56" s="1309"/>
      <c r="AI56" s="1309"/>
      <c r="AJ56" s="1309"/>
      <c r="AK56" s="1309"/>
      <c r="AL56" s="1309"/>
      <c r="AM56" s="1309"/>
      <c r="AN56" s="1309"/>
      <c r="AO56" s="1309"/>
      <c r="AP56" s="1309"/>
      <c r="AQ56" s="1309"/>
      <c r="AR56" s="1309"/>
      <c r="AS56" s="1309"/>
      <c r="AT56" s="1309"/>
      <c r="AU56" s="1310"/>
      <c r="AW56" s="438"/>
      <c r="AX56" s="438" t="str">
        <f t="shared" si="3"/>
        <v>Добавить группу потребителей</v>
      </c>
      <c r="AY56" s="438"/>
      <c r="AZ56" s="438"/>
      <c r="BA56" s="449">
        <v>1</v>
      </c>
    </row>
    <row r="57" spans="1:53" s="4299" customFormat="1" ht="1.1499999999999999" customHeight="1">
      <c r="A57" s="1264" t="s">
        <v>229</v>
      </c>
      <c r="B57" s="1264" t="s">
        <v>230</v>
      </c>
      <c r="C57" s="1264" t="s">
        <v>231</v>
      </c>
      <c r="D57" s="1264" t="s">
        <v>232</v>
      </c>
      <c r="E57" s="5470"/>
      <c r="F57" s="5470"/>
      <c r="G57" s="5470"/>
      <c r="H57" s="5469"/>
      <c r="I57" s="1264"/>
      <c r="J57" s="1264"/>
      <c r="K57" s="1264"/>
      <c r="L57" s="1267"/>
      <c r="M57" s="1236"/>
      <c r="N57" s="1236"/>
      <c r="O57" s="456"/>
      <c r="P57" s="318"/>
      <c r="Q57" s="1265"/>
      <c r="R57" s="1321"/>
      <c r="S57" s="1307"/>
      <c r="T57" s="1308"/>
      <c r="U57" s="1309"/>
      <c r="V57" s="1309"/>
      <c r="W57" s="1309"/>
      <c r="X57" s="1309"/>
      <c r="Y57" s="1309"/>
      <c r="Z57" s="1309"/>
      <c r="AA57" s="1309"/>
      <c r="AB57" s="1309"/>
      <c r="AC57" s="1309"/>
      <c r="AD57" s="1309"/>
      <c r="AE57" s="1309"/>
      <c r="AF57" s="1309"/>
      <c r="AG57" s="1309"/>
      <c r="AH57" s="1309"/>
      <c r="AI57" s="1309"/>
      <c r="AJ57" s="1309"/>
      <c r="AK57" s="1309"/>
      <c r="AL57" s="1309"/>
      <c r="AM57" s="1309"/>
      <c r="AN57" s="1309"/>
      <c r="AO57" s="1309"/>
      <c r="AP57" s="1309"/>
      <c r="AQ57" s="1309"/>
      <c r="AR57" s="1309"/>
      <c r="AS57" s="1309"/>
      <c r="AT57" s="1309"/>
      <c r="AU57" s="1310"/>
      <c r="AV57" s="449"/>
      <c r="AW57" s="438"/>
      <c r="AX57" s="438" t="str">
        <f t="shared" si="3"/>
        <v/>
      </c>
      <c r="AY57" s="438"/>
      <c r="AZ57" s="438"/>
      <c r="BA57" s="434">
        <v>1</v>
      </c>
    </row>
    <row r="58" spans="1:53" s="4275" customFormat="1" ht="1.1499999999999999" customHeight="1">
      <c r="A58" s="1264" t="s">
        <v>229</v>
      </c>
      <c r="B58" s="1264" t="s">
        <v>230</v>
      </c>
      <c r="C58" s="1264" t="s">
        <v>231</v>
      </c>
      <c r="D58" s="1235"/>
      <c r="E58" s="5470"/>
      <c r="F58" s="5470"/>
      <c r="G58" s="5469"/>
      <c r="H58" s="1235"/>
      <c r="I58" s="1235"/>
      <c r="J58" s="1235"/>
      <c r="K58" s="1235"/>
      <c r="L58" s="1260"/>
      <c r="M58" s="1236"/>
      <c r="N58" s="1236"/>
      <c r="P58" s="1237"/>
      <c r="Q58" s="1238"/>
      <c r="R58" s="1237"/>
      <c r="S58" s="1243"/>
      <c r="T58" s="1246" t="s">
        <v>507</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W58" s="721"/>
      <c r="AX58" s="721" t="str">
        <f t="shared" si="3"/>
        <v>Добавить источник для дифференциации</v>
      </c>
      <c r="AY58" s="721"/>
      <c r="AZ58" s="721"/>
      <c r="BA58" s="456">
        <v>1</v>
      </c>
    </row>
    <row r="59" spans="1:53" s="4275" customFormat="1" ht="1.1499999999999999" customHeight="1">
      <c r="A59" s="1264" t="s">
        <v>229</v>
      </c>
      <c r="B59" s="1264" t="s">
        <v>230</v>
      </c>
      <c r="C59" s="1235"/>
      <c r="D59" s="1235"/>
      <c r="E59" s="5470"/>
      <c r="F59" s="5469"/>
      <c r="G59" s="1235"/>
      <c r="H59" s="1235"/>
      <c r="I59" s="1235"/>
      <c r="J59" s="1235"/>
      <c r="K59" s="1235"/>
      <c r="L59" s="1260"/>
      <c r="M59" s="1242"/>
      <c r="N59" s="1242"/>
      <c r="P59" s="1237"/>
      <c r="Q59" s="1238"/>
      <c r="R59" s="1237"/>
      <c r="S59" s="1243"/>
      <c r="T59" s="1246" t="s">
        <v>312</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W59" s="721"/>
      <c r="AX59" s="721" t="str">
        <f t="shared" si="3"/>
        <v>Добавить централизованную систему для дифференциации</v>
      </c>
      <c r="AY59" s="721"/>
      <c r="AZ59" s="721"/>
      <c r="BA59" s="456">
        <v>1</v>
      </c>
    </row>
    <row r="60" spans="1:53" s="4275" customFormat="1" ht="1.1499999999999999" customHeight="1">
      <c r="A60" s="1264" t="s">
        <v>229</v>
      </c>
      <c r="B60" s="1264"/>
      <c r="C60" s="1264"/>
      <c r="D60" s="1264"/>
      <c r="E60" s="5470"/>
      <c r="F60" s="1264"/>
      <c r="G60" s="1264"/>
      <c r="H60" s="1264"/>
      <c r="I60" s="1264"/>
      <c r="J60" s="1264"/>
      <c r="K60" s="1264"/>
      <c r="L60" s="1267"/>
      <c r="M60" s="1242"/>
      <c r="N60" s="1242"/>
      <c r="O60" s="456"/>
      <c r="P60" s="318"/>
      <c r="Q60" s="1265"/>
      <c r="R60" s="318"/>
      <c r="S60" s="1243"/>
      <c r="T60" s="1246" t="s">
        <v>360</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W60" s="438"/>
      <c r="AX60" s="438" t="str">
        <f t="shared" si="3"/>
        <v>Добавить территорию для дифференциации</v>
      </c>
      <c r="AY60" s="438"/>
      <c r="AZ60" s="438"/>
      <c r="BA60" s="449">
        <v>1</v>
      </c>
    </row>
    <row r="61" spans="1:53" s="4275" customFormat="1" ht="1.1499999999999999" customHeight="1">
      <c r="A61" s="1264" t="s">
        <v>229</v>
      </c>
      <c r="B61" s="1264"/>
      <c r="C61" s="1264"/>
      <c r="D61" s="1264"/>
      <c r="E61" s="5469"/>
      <c r="F61" s="1264"/>
      <c r="G61" s="1264"/>
      <c r="H61" s="1264"/>
      <c r="I61" s="1264"/>
      <c r="J61" s="1264"/>
      <c r="K61" s="1264"/>
      <c r="L61" s="1267"/>
      <c r="M61" s="1242"/>
      <c r="N61" s="1242"/>
      <c r="O61" s="456"/>
      <c r="P61" s="318"/>
      <c r="Q61" s="1265"/>
      <c r="R61" s="318"/>
      <c r="S61" s="1243"/>
      <c r="T61" s="1246" t="s">
        <v>360</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W61" s="438"/>
      <c r="AX61" s="438" t="str">
        <f t="shared" si="3"/>
        <v>Добавить территорию для дифференциации</v>
      </c>
      <c r="AY61" s="438"/>
      <c r="AZ61" s="438"/>
      <c r="BA61" s="449">
        <v>1</v>
      </c>
    </row>
    <row r="62" spans="1:53" s="4275" customFormat="1" ht="1.1499999999999999" customHeight="1">
      <c r="A62" s="1235"/>
      <c r="B62" s="1235"/>
      <c r="C62" s="1235"/>
      <c r="D62" s="1235"/>
      <c r="E62" s="1264"/>
      <c r="F62" s="1235"/>
      <c r="G62" s="1235"/>
      <c r="H62" s="1235"/>
      <c r="I62" s="1235"/>
      <c r="J62" s="1235"/>
      <c r="K62" s="1235"/>
      <c r="L62" s="1260"/>
      <c r="M62" s="1242"/>
      <c r="N62" s="1242"/>
      <c r="P62" s="1237"/>
      <c r="Q62" s="1238"/>
      <c r="R62" s="1237"/>
      <c r="S62" s="1243"/>
      <c r="T62" s="1246" t="s">
        <v>361</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W62" s="721"/>
      <c r="AX62" s="721" t="str">
        <f t="shared" si="3"/>
        <v>Добавить наименование тарифа</v>
      </c>
      <c r="AY62" s="721"/>
      <c r="AZ62" s="721"/>
      <c r="BA62" s="456">
        <v>1</v>
      </c>
    </row>
    <row r="63" spans="1:53" ht="11.45" customHeight="1">
      <c r="M63" s="1081"/>
      <c r="N63" s="1081"/>
      <c r="O63" s="475"/>
      <c r="P63" s="1081"/>
      <c r="Q63" s="1081"/>
      <c r="R63" s="1076"/>
      <c r="S63" s="1076"/>
      <c r="AV63" s="1076"/>
      <c r="AW63" s="1076"/>
      <c r="AX63" s="1076"/>
      <c r="AY63" s="1076"/>
      <c r="AZ63" s="1076"/>
      <c r="BA63" s="1076">
        <v>11</v>
      </c>
    </row>
    <row r="64" spans="1:53" ht="19.899999999999999" customHeight="1">
      <c r="O64" s="475"/>
      <c r="S64" s="1174"/>
      <c r="T64" s="5468"/>
      <c r="U64" s="5468"/>
      <c r="V64" s="5468"/>
      <c r="W64" s="5468"/>
      <c r="X64" s="5468"/>
      <c r="Y64" s="5468"/>
      <c r="Z64" s="5468"/>
      <c r="AA64" s="5468"/>
      <c r="AB64" s="5468"/>
      <c r="AC64" s="5468"/>
      <c r="AD64" s="5468"/>
      <c r="AE64" s="5468"/>
      <c r="AF64" s="5468"/>
      <c r="AG64" s="5468"/>
      <c r="AH64" s="5468"/>
      <c r="AI64" s="5468"/>
      <c r="AJ64" s="5468"/>
      <c r="AK64" s="5468"/>
      <c r="AL64" s="5468"/>
      <c r="AM64" s="5468"/>
      <c r="AN64" s="5468"/>
      <c r="AO64" s="5468"/>
      <c r="AP64" s="5468"/>
      <c r="AQ64" s="5468"/>
      <c r="AR64" s="5468"/>
      <c r="AS64" s="5468"/>
      <c r="AT64" s="5468"/>
      <c r="AU64" s="5468"/>
      <c r="BA64" s="1076">
        <v>19</v>
      </c>
    </row>
    <row r="65" spans="1:53" ht="21" customHeight="1">
      <c r="O65" s="475"/>
      <c r="T65" s="5468"/>
      <c r="U65" s="5468"/>
      <c r="V65" s="5468"/>
      <c r="W65" s="5468"/>
      <c r="X65" s="5468"/>
      <c r="Y65" s="5468"/>
      <c r="Z65" s="5468"/>
      <c r="AA65" s="5468"/>
      <c r="AB65" s="5468"/>
      <c r="AC65" s="5468"/>
      <c r="AD65" s="5468"/>
      <c r="AE65" s="5468"/>
      <c r="AF65" s="5468"/>
      <c r="AG65" s="5468"/>
      <c r="AH65" s="5468"/>
      <c r="AI65" s="5468"/>
      <c r="AJ65" s="5468"/>
      <c r="AK65" s="5468"/>
      <c r="AL65" s="5468"/>
      <c r="AM65" s="5468"/>
      <c r="AN65" s="5468"/>
      <c r="AO65" s="5468"/>
      <c r="AP65" s="5468"/>
      <c r="AQ65" s="5468"/>
      <c r="AR65" s="5468"/>
      <c r="AS65" s="5468"/>
      <c r="AT65" s="5468"/>
      <c r="AU65" s="5468"/>
      <c r="BA65" s="1076">
        <v>20</v>
      </c>
    </row>
    <row r="66" spans="1:53" ht="14.65" customHeight="1">
      <c r="O66" s="475"/>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BA66" s="1076">
        <v>14</v>
      </c>
    </row>
    <row r="67" spans="1:53" ht="19.899999999999999" customHeight="1">
      <c r="O67" s="475"/>
      <c r="T67" s="5468"/>
      <c r="U67" s="5468"/>
      <c r="V67" s="5468"/>
      <c r="W67" s="5468"/>
      <c r="X67" s="5468"/>
      <c r="Y67" s="5468"/>
      <c r="Z67" s="5468"/>
      <c r="AA67" s="5468"/>
      <c r="AB67" s="5468"/>
      <c r="AC67" s="5468"/>
      <c r="AD67" s="5468"/>
      <c r="AE67" s="5468"/>
      <c r="AF67" s="5468"/>
      <c r="AG67" s="5468"/>
      <c r="AH67" s="5468"/>
      <c r="AI67" s="5468"/>
      <c r="AJ67" s="5468"/>
      <c r="AK67" s="5468"/>
      <c r="AL67" s="5468"/>
      <c r="AM67" s="5468"/>
      <c r="AN67" s="5468"/>
      <c r="AO67" s="5468"/>
      <c r="AP67" s="5468"/>
      <c r="AQ67" s="5468"/>
      <c r="AR67" s="5468"/>
      <c r="AS67" s="5468"/>
      <c r="AT67" s="5468"/>
      <c r="AU67" s="5468"/>
      <c r="BA67" s="1076">
        <v>19</v>
      </c>
    </row>
    <row r="68" spans="1:53" ht="16.899999999999999" customHeight="1">
      <c r="O68" s="475"/>
      <c r="T68" s="5468"/>
      <c r="U68" s="5468"/>
      <c r="V68" s="5468"/>
      <c r="W68" s="5468"/>
      <c r="X68" s="5468"/>
      <c r="Y68" s="5468"/>
      <c r="Z68" s="5468"/>
      <c r="AA68" s="5468"/>
      <c r="AB68" s="5468"/>
      <c r="AC68" s="5468"/>
      <c r="AD68" s="5468"/>
      <c r="AE68" s="5468"/>
      <c r="AF68" s="5468"/>
      <c r="AG68" s="5468"/>
      <c r="AH68" s="5468"/>
      <c r="AI68" s="5468"/>
      <c r="AJ68" s="5468"/>
      <c r="AK68" s="5468"/>
      <c r="AL68" s="5468"/>
      <c r="AM68" s="5468"/>
      <c r="AN68" s="5468"/>
      <c r="AO68" s="5468"/>
      <c r="AP68" s="5468"/>
      <c r="AQ68" s="5468"/>
      <c r="AR68" s="5468"/>
      <c r="AS68" s="5468"/>
      <c r="AT68" s="5468"/>
      <c r="AU68" s="5468"/>
      <c r="BA68" s="1076">
        <v>16</v>
      </c>
    </row>
    <row r="69" spans="1:53" ht="14.65" customHeight="1">
      <c r="O69" s="475"/>
      <c r="BA69" s="1076">
        <v>14</v>
      </c>
    </row>
    <row r="70" spans="1:53" ht="22.5" hidden="1" customHeight="1">
      <c r="A70" s="1081" t="s">
        <v>82</v>
      </c>
      <c r="B70" s="1081">
        <v>0</v>
      </c>
      <c r="C70" s="1081">
        <v>0</v>
      </c>
      <c r="D70" s="1081">
        <v>0</v>
      </c>
      <c r="E70" s="1081">
        <v>0</v>
      </c>
      <c r="F70" s="1081">
        <v>0</v>
      </c>
      <c r="G70" s="1081">
        <v>0</v>
      </c>
      <c r="H70" s="1081">
        <v>0</v>
      </c>
      <c r="I70" s="1081">
        <v>0</v>
      </c>
      <c r="J70" s="1081">
        <v>0</v>
      </c>
      <c r="K70" s="1081">
        <v>0</v>
      </c>
      <c r="L70" s="1250">
        <v>0</v>
      </c>
      <c r="M70" s="1283">
        <v>0</v>
      </c>
      <c r="N70" s="1283">
        <v>0</v>
      </c>
      <c r="O70" s="1283">
        <v>0</v>
      </c>
      <c r="P70" s="1283">
        <v>3</v>
      </c>
      <c r="Q70" s="1292">
        <v>3</v>
      </c>
      <c r="R70" s="282">
        <v>3</v>
      </c>
      <c r="S70" s="519">
        <v>12</v>
      </c>
      <c r="T70" s="1076">
        <v>31</v>
      </c>
      <c r="U70" s="1076">
        <v>0</v>
      </c>
      <c r="V70" s="1076">
        <v>0</v>
      </c>
      <c r="W70" s="1076">
        <v>0</v>
      </c>
      <c r="X70" s="1076">
        <v>0</v>
      </c>
      <c r="Y70" s="1076">
        <v>0</v>
      </c>
      <c r="Z70" s="1076">
        <v>0</v>
      </c>
      <c r="AA70" s="1076">
        <v>0</v>
      </c>
      <c r="AB70" s="1076">
        <v>5</v>
      </c>
      <c r="AC70" s="1076">
        <v>3</v>
      </c>
      <c r="AD70" s="1076">
        <v>3</v>
      </c>
      <c r="AE70" s="1076">
        <v>24</v>
      </c>
      <c r="AF70" s="1076">
        <v>3</v>
      </c>
      <c r="AG70" s="1076">
        <v>3</v>
      </c>
      <c r="AH70" s="1076">
        <v>3</v>
      </c>
      <c r="AI70" s="1076">
        <v>24</v>
      </c>
      <c r="AJ70" s="1076">
        <v>3</v>
      </c>
      <c r="AK70" s="1076">
        <v>3</v>
      </c>
      <c r="AL70" s="1076">
        <v>3</v>
      </c>
      <c r="AM70" s="1076">
        <v>18</v>
      </c>
      <c r="AN70" s="1076">
        <v>21</v>
      </c>
      <c r="AO70" s="1076">
        <v>21</v>
      </c>
      <c r="AP70" s="1076">
        <v>11</v>
      </c>
      <c r="AQ70" s="1076">
        <v>3</v>
      </c>
      <c r="AR70" s="1076">
        <v>11</v>
      </c>
      <c r="AS70" s="1076">
        <v>8</v>
      </c>
      <c r="AT70" s="1076">
        <v>4</v>
      </c>
      <c r="AU70" s="1076">
        <v>115</v>
      </c>
      <c r="AV70" s="449">
        <v>10</v>
      </c>
      <c r="AW70" s="449">
        <v>10</v>
      </c>
      <c r="AX70" s="449">
        <v>10</v>
      </c>
      <c r="AY70" s="449">
        <v>10</v>
      </c>
      <c r="AZ70" s="449">
        <v>10</v>
      </c>
      <c r="BA70" s="1076">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4.140625" style="4274" hidden="1" customWidth="1"/>
    <col min="10" max="10" width="9.85546875" style="4274" hidden="1" customWidth="1"/>
    <col min="11" max="11" width="14.710937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5" style="4267" customWidth="1"/>
    <col min="21" max="21" width="0.140625" style="4267" customWidth="1"/>
    <col min="22" max="24" width="24.7109375" style="4267" hidden="1" customWidth="1"/>
    <col min="25" max="25" width="11.7109375" style="4267" hidden="1" customWidth="1"/>
    <col min="26" max="26" width="3.7109375" style="4267" hidden="1" customWidth="1"/>
    <col min="27" max="27" width="11.7109375" style="4267" hidden="1" customWidth="1"/>
    <col min="28" max="28" width="8.5703125" style="4267" hidden="1" customWidth="1"/>
    <col min="29" max="29" width="24.7109375" style="4267" customWidth="1"/>
    <col min="30" max="31" width="24" style="4267" customWidth="1"/>
    <col min="32" max="32" width="11" style="4267" customWidth="1"/>
    <col min="33" max="33" width="3.7109375" style="4267" customWidth="1"/>
    <col min="34" max="34" width="11" style="4267" customWidth="1"/>
    <col min="35" max="35" width="8.5703125" style="4267" hidden="1" customWidth="1"/>
    <col min="36" max="36" width="4" style="4267" customWidth="1"/>
    <col min="37" max="37" width="115" style="4267" customWidth="1"/>
    <col min="38" max="42" width="10" style="4275" customWidth="1"/>
    <col min="43" max="43" width="10.5703125" style="4267" hidden="1"/>
  </cols>
  <sheetData>
    <row r="1" spans="1:43" ht="22.5" hidden="1" customHeight="1">
      <c r="X1" s="265"/>
      <c r="Y1" s="265"/>
      <c r="AE1" s="265"/>
      <c r="AF1" s="265"/>
      <c r="AQ1" s="1076" t="s">
        <v>14</v>
      </c>
    </row>
    <row r="2" spans="1:43" ht="23.25" hidden="1" customHeight="1">
      <c r="A2" s="1284"/>
      <c r="B2" s="1284"/>
      <c r="C2" s="1284"/>
      <c r="D2" s="1284"/>
      <c r="E2" s="5469">
        <v>1</v>
      </c>
      <c r="F2" s="1284"/>
      <c r="G2" s="1284"/>
      <c r="H2" s="1284"/>
      <c r="I2" s="1284"/>
      <c r="J2" s="1284"/>
      <c r="K2" s="1284"/>
      <c r="L2" s="1285"/>
      <c r="M2" s="1286"/>
      <c r="N2" s="1286"/>
      <c r="O2" s="1286"/>
      <c r="P2" s="299"/>
      <c r="Q2" s="298"/>
      <c r="R2" s="293"/>
      <c r="S2" s="1346" t="e">
        <f>INDEX(PT_DIFFERENTIATION_NUM_NTAR,MATCH(A2,PT_DIFFERENTIATION_NTAR_ID,0))</f>
        <v>#N/A</v>
      </c>
      <c r="T2" s="236" t="s">
        <v>155</v>
      </c>
      <c r="U2" s="238"/>
      <c r="V2" s="5463"/>
      <c r="W2" s="5464"/>
      <c r="X2" s="5464"/>
      <c r="Y2" s="5464"/>
      <c r="Z2" s="5464"/>
      <c r="AA2" s="5464"/>
      <c r="AB2" s="5465"/>
      <c r="AC2" s="5463" t="e">
        <f>INDEX(PT_DIFFERENTIATION_NTAR,MATCH(A2,PT_DIFFERENTIATION_NTAR_ID,0))</f>
        <v>#N/A</v>
      </c>
      <c r="AD2" s="5464"/>
      <c r="AE2" s="5464"/>
      <c r="AF2" s="5464"/>
      <c r="AG2" s="5464"/>
      <c r="AH2" s="5464"/>
      <c r="AI2" s="5464"/>
      <c r="AJ2" s="5465"/>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76">
        <v>0</v>
      </c>
    </row>
    <row r="3" spans="1:43" ht="23.25" hidden="1" customHeight="1">
      <c r="A3" s="1284"/>
      <c r="B3" s="1284"/>
      <c r="C3" s="1284"/>
      <c r="D3" s="1284"/>
      <c r="E3" s="5470"/>
      <c r="F3" s="5469">
        <v>1</v>
      </c>
      <c r="G3" s="1284"/>
      <c r="H3" s="1284"/>
      <c r="I3" s="1284"/>
      <c r="J3" s="1284"/>
      <c r="K3" s="1284"/>
      <c r="L3" s="1285"/>
      <c r="M3" s="1286"/>
      <c r="N3" s="1286"/>
      <c r="O3" s="1286"/>
      <c r="P3" s="1344"/>
      <c r="Q3" s="290"/>
      <c r="R3" s="291"/>
      <c r="S3" s="1346" t="e">
        <f>INDEX(PT_DIFFERENTIATION_NUM_TER,MATCH(B3,PT_DIFFERENTIATION_TER_ID,0))</f>
        <v>#N/A</v>
      </c>
      <c r="T3" s="246" t="s">
        <v>490</v>
      </c>
      <c r="U3" s="238"/>
      <c r="V3" s="5463"/>
      <c r="W3" s="5464"/>
      <c r="X3" s="5464"/>
      <c r="Y3" s="5464"/>
      <c r="Z3" s="5464"/>
      <c r="AA3" s="5464"/>
      <c r="AB3" s="5465"/>
      <c r="AC3" s="5463" t="e">
        <f>INDEX(PT_DIFFERENTIATION_TER,MATCH(B3,PT_DIFFERENTIATION_TER_ID,0))</f>
        <v>#N/A</v>
      </c>
      <c r="AD3" s="5464"/>
      <c r="AE3" s="5464"/>
      <c r="AF3" s="5464"/>
      <c r="AG3" s="5464"/>
      <c r="AH3" s="5464"/>
      <c r="AI3" s="5464"/>
      <c r="AJ3" s="5465"/>
      <c r="AK3" s="1179" t="s">
        <v>491</v>
      </c>
      <c r="AM3" s="438"/>
      <c r="AN3" s="438" t="str">
        <f t="shared" si="0"/>
        <v>Территория действия тарифа</v>
      </c>
      <c r="AO3" s="438"/>
      <c r="AP3" s="438"/>
      <c r="AQ3" s="1076">
        <v>0</v>
      </c>
    </row>
    <row r="4" spans="1:43" ht="23.25" hidden="1" customHeight="1">
      <c r="A4" s="1284"/>
      <c r="B4" s="1284"/>
      <c r="C4" s="1284"/>
      <c r="D4" s="1284"/>
      <c r="E4" s="5470"/>
      <c r="F4" s="5470"/>
      <c r="G4" s="5469">
        <v>1</v>
      </c>
      <c r="H4" s="1284"/>
      <c r="I4" s="1284"/>
      <c r="J4" s="1284"/>
      <c r="K4" s="1284"/>
      <c r="L4" s="1285"/>
      <c r="M4" s="1286"/>
      <c r="N4" s="1286"/>
      <c r="O4" s="1286"/>
      <c r="P4" s="292"/>
      <c r="Q4" s="290"/>
      <c r="R4" s="291"/>
      <c r="S4" s="1346" t="e">
        <f>INDEX(PT_DIFFERENTIATION_NUM_CS,MATCH(C4,PT_DIFFERENTIATION_CS_ID,0))</f>
        <v>#N/A</v>
      </c>
      <c r="T4" s="247" t="s">
        <v>571</v>
      </c>
      <c r="U4" s="238"/>
      <c r="V4" s="5463"/>
      <c r="W4" s="5464"/>
      <c r="X4" s="5464"/>
      <c r="Y4" s="5464"/>
      <c r="Z4" s="5464"/>
      <c r="AA4" s="5464"/>
      <c r="AB4" s="5465"/>
      <c r="AC4" s="5463" t="e">
        <f>INDEX(PT_DIFFERENTIATION_CS,MATCH(C4,PT_DIFFERENTIATION_CS_ID,0))</f>
        <v>#N/A</v>
      </c>
      <c r="AD4" s="5464"/>
      <c r="AE4" s="5464"/>
      <c r="AF4" s="5464"/>
      <c r="AG4" s="5464"/>
      <c r="AH4" s="5464"/>
      <c r="AI4" s="5464"/>
      <c r="AJ4" s="5465"/>
      <c r="AK4" s="1179" t="s">
        <v>572</v>
      </c>
      <c r="AM4" s="438"/>
      <c r="AN4" s="438" t="str">
        <f t="shared" si="0"/>
        <v>Наименование централизованной системы холодного водоснабжения</v>
      </c>
      <c r="AO4" s="438"/>
      <c r="AP4" s="438"/>
      <c r="AQ4" s="1076">
        <v>0</v>
      </c>
    </row>
    <row r="5" spans="1:43" ht="23.25" hidden="1" customHeight="1">
      <c r="A5" s="1284"/>
      <c r="B5" s="1284"/>
      <c r="C5" s="1284"/>
      <c r="D5" s="1284"/>
      <c r="E5" s="5470"/>
      <c r="F5" s="5470"/>
      <c r="G5" s="5470"/>
      <c r="H5" s="5470"/>
      <c r="I5" s="5471" t="e">
        <f>S4&amp;".1"</f>
        <v>#N/A</v>
      </c>
      <c r="J5" s="1284"/>
      <c r="K5" s="1284"/>
      <c r="L5" s="1285"/>
      <c r="P5" s="5473">
        <v>1</v>
      </c>
      <c r="Q5" s="1343"/>
      <c r="R5" s="294"/>
      <c r="S5" s="1346" t="e">
        <f>$I5</f>
        <v>#N/A</v>
      </c>
      <c r="T5" s="223" t="s">
        <v>573</v>
      </c>
      <c r="U5" s="238"/>
      <c r="V5" s="5537"/>
      <c r="W5" s="5538"/>
      <c r="X5" s="5538"/>
      <c r="Y5" s="5538"/>
      <c r="Z5" s="5538"/>
      <c r="AA5" s="5538"/>
      <c r="AB5" s="5539"/>
      <c r="AC5" s="5540"/>
      <c r="AD5" s="5541"/>
      <c r="AE5" s="5541"/>
      <c r="AF5" s="5541"/>
      <c r="AG5" s="5541"/>
      <c r="AH5" s="5541"/>
      <c r="AI5" s="5541"/>
      <c r="AJ5" s="5542"/>
      <c r="AK5" s="1179" t="s">
        <v>574</v>
      </c>
      <c r="AM5" s="438"/>
      <c r="AN5" s="438" t="str">
        <f t="shared" si="0"/>
        <v>Наименование признака дифференциации</v>
      </c>
      <c r="AO5" s="438"/>
      <c r="AP5" s="438"/>
      <c r="AQ5" s="1076">
        <v>0</v>
      </c>
    </row>
    <row r="6" spans="1:43" ht="23.25" hidden="1" customHeight="1">
      <c r="A6" s="1284"/>
      <c r="B6" s="1284"/>
      <c r="C6" s="1284"/>
      <c r="D6" s="1284"/>
      <c r="E6" s="5470"/>
      <c r="F6" s="5470"/>
      <c r="G6" s="5470"/>
      <c r="H6" s="5470"/>
      <c r="I6" s="5472"/>
      <c r="J6" s="5471" t="e">
        <f>I5&amp;".1"</f>
        <v>#N/A</v>
      </c>
      <c r="K6" s="1284"/>
      <c r="L6" s="1285" t="s">
        <v>499</v>
      </c>
      <c r="P6" s="5473"/>
      <c r="Q6" s="5473">
        <v>1</v>
      </c>
      <c r="R6" s="295"/>
      <c r="S6" s="1346" t="e">
        <f>$J6</f>
        <v>#N/A</v>
      </c>
      <c r="T6" s="224" t="s">
        <v>500</v>
      </c>
      <c r="U6" s="238"/>
      <c r="V6" s="5457"/>
      <c r="W6" s="5458"/>
      <c r="X6" s="5458"/>
      <c r="Y6" s="5458"/>
      <c r="Z6" s="5458"/>
      <c r="AA6" s="5458"/>
      <c r="AB6" s="5459"/>
      <c r="AC6" s="5457"/>
      <c r="AD6" s="5458"/>
      <c r="AE6" s="5458"/>
      <c r="AF6" s="5458"/>
      <c r="AG6" s="5458"/>
      <c r="AH6" s="5458"/>
      <c r="AI6" s="5458"/>
      <c r="AJ6" s="5459"/>
      <c r="AK6" s="1228" t="s">
        <v>575</v>
      </c>
      <c r="AM6" s="438"/>
      <c r="AN6" s="438" t="str">
        <f t="shared" si="0"/>
        <v>Группа потребителей</v>
      </c>
      <c r="AO6" s="438"/>
      <c r="AP6" s="438"/>
      <c r="AQ6" s="1076">
        <v>0</v>
      </c>
    </row>
    <row r="7" spans="1:43" ht="23.25" hidden="1" customHeight="1">
      <c r="A7" s="1284"/>
      <c r="B7" s="1284"/>
      <c r="C7" s="1284"/>
      <c r="D7" s="1284"/>
      <c r="E7" s="5470"/>
      <c r="F7" s="5470"/>
      <c r="G7" s="5470"/>
      <c r="H7" s="5470"/>
      <c r="I7" s="5472"/>
      <c r="J7" s="5472"/>
      <c r="K7" s="5471" t="e">
        <f>J6&amp;".1"</f>
        <v>#N/A</v>
      </c>
      <c r="L7" s="1285"/>
      <c r="P7" s="5473"/>
      <c r="Q7" s="5473"/>
      <c r="R7" s="295">
        <v>1</v>
      </c>
      <c r="S7" s="1346" t="e">
        <f>$K7</f>
        <v>#N/A</v>
      </c>
      <c r="T7" s="1358"/>
      <c r="U7" s="238"/>
      <c r="V7" s="689"/>
      <c r="W7" s="689"/>
      <c r="X7" s="1178"/>
      <c r="Y7" s="5474"/>
      <c r="Z7" s="5338" t="s">
        <v>66</v>
      </c>
      <c r="AA7" s="5474"/>
      <c r="AB7" s="5338" t="s">
        <v>66</v>
      </c>
      <c r="AC7" s="689"/>
      <c r="AD7" s="689"/>
      <c r="AE7" s="1178"/>
      <c r="AF7" s="5474"/>
      <c r="AG7" s="5338" t="s">
        <v>66</v>
      </c>
      <c r="AH7" s="5476"/>
      <c r="AI7" s="5338" t="s">
        <v>66</v>
      </c>
      <c r="AJ7" s="1359"/>
      <c r="AK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76">
        <v>0</v>
      </c>
    </row>
    <row r="8" spans="1:43" ht="14.25" hidden="1" customHeight="1">
      <c r="A8" s="1284"/>
      <c r="B8" s="1284"/>
      <c r="C8" s="1284"/>
      <c r="D8" s="1284"/>
      <c r="E8" s="5470"/>
      <c r="F8" s="5470"/>
      <c r="G8" s="5470"/>
      <c r="H8" s="5470"/>
      <c r="I8" s="5472"/>
      <c r="J8" s="5472"/>
      <c r="K8" s="5471"/>
      <c r="L8" s="1285"/>
      <c r="P8" s="5473"/>
      <c r="Q8" s="5473"/>
      <c r="R8" s="295"/>
      <c r="S8" s="1345"/>
      <c r="T8" s="238"/>
      <c r="U8" s="238"/>
      <c r="V8" s="263"/>
      <c r="W8" s="263"/>
      <c r="X8" s="266" t="str">
        <f>Y7&amp;"-"&amp;AA7</f>
        <v>-</v>
      </c>
      <c r="Y8" s="5475"/>
      <c r="Z8" s="5338"/>
      <c r="AA8" s="5475"/>
      <c r="AB8" s="5338"/>
      <c r="AC8" s="263"/>
      <c r="AD8" s="263"/>
      <c r="AE8" s="266" t="str">
        <f>AF7&amp;"-"&amp;AH7</f>
        <v>-</v>
      </c>
      <c r="AF8" s="5475"/>
      <c r="AG8" s="5338"/>
      <c r="AH8" s="5477"/>
      <c r="AI8" s="5338"/>
      <c r="AJ8" s="1360"/>
      <c r="AK8" s="5543"/>
      <c r="AM8" s="438"/>
      <c r="AN8" s="438" t="str">
        <f t="shared" si="0"/>
        <v/>
      </c>
      <c r="AO8" s="438"/>
      <c r="AP8" s="438"/>
      <c r="AQ8" s="1076">
        <v>0</v>
      </c>
    </row>
    <row r="9" spans="1:43" ht="21" hidden="1" customHeight="1">
      <c r="A9" s="1284"/>
      <c r="B9" s="1284"/>
      <c r="C9" s="1284"/>
      <c r="D9" s="1284"/>
      <c r="E9" s="5470"/>
      <c r="F9" s="5470"/>
      <c r="G9" s="5470"/>
      <c r="H9" s="5470"/>
      <c r="I9" s="5472"/>
      <c r="J9" s="5471"/>
      <c r="K9" s="1284"/>
      <c r="L9" s="1285"/>
      <c r="P9" s="5473"/>
      <c r="Q9" s="5473"/>
      <c r="R9" s="294"/>
      <c r="S9" s="1199"/>
      <c r="T9" s="225" t="s">
        <v>576</v>
      </c>
      <c r="U9" s="305"/>
      <c r="V9" s="305"/>
      <c r="W9" s="305"/>
      <c r="X9" s="305"/>
      <c r="Y9" s="305"/>
      <c r="Z9" s="305"/>
      <c r="AA9" s="305"/>
      <c r="AB9" s="305"/>
      <c r="AC9" s="305"/>
      <c r="AD9" s="305"/>
      <c r="AE9" s="305"/>
      <c r="AF9" s="305"/>
      <c r="AG9" s="305"/>
      <c r="AH9" s="305"/>
      <c r="AI9" s="305"/>
      <c r="AJ9" s="305"/>
      <c r="AK9" s="1179" t="s">
        <v>577</v>
      </c>
      <c r="AM9" s="438"/>
      <c r="AN9" s="438" t="str">
        <f t="shared" si="0"/>
        <v>Добавить значение признака дифференциации</v>
      </c>
      <c r="AO9" s="438"/>
      <c r="AP9" s="438"/>
      <c r="AQ9" s="1076">
        <v>0</v>
      </c>
    </row>
    <row r="10" spans="1:43" ht="21" hidden="1" customHeight="1">
      <c r="A10" s="1284"/>
      <c r="B10" s="1284"/>
      <c r="C10" s="1284"/>
      <c r="D10" s="1284"/>
      <c r="E10" s="5470"/>
      <c r="F10" s="5470"/>
      <c r="G10" s="5470"/>
      <c r="H10" s="5470"/>
      <c r="I10" s="5471"/>
      <c r="J10" s="1284"/>
      <c r="K10" s="1284"/>
      <c r="L10" s="1285"/>
      <c r="P10" s="5473"/>
      <c r="Q10" s="1343"/>
      <c r="R10" s="294"/>
      <c r="S10" s="1199"/>
      <c r="T10" s="303" t="s">
        <v>505</v>
      </c>
      <c r="U10" s="305"/>
      <c r="V10" s="305"/>
      <c r="W10" s="305"/>
      <c r="X10" s="305"/>
      <c r="Y10" s="305"/>
      <c r="Z10" s="305"/>
      <c r="AA10" s="305"/>
      <c r="AB10" s="304"/>
      <c r="AC10" s="305"/>
      <c r="AD10" s="305"/>
      <c r="AE10" s="305"/>
      <c r="AF10" s="305"/>
      <c r="AG10" s="305"/>
      <c r="AH10" s="305"/>
      <c r="AI10" s="304"/>
      <c r="AJ10" s="305"/>
      <c r="AK10" s="1361"/>
      <c r="AM10" s="438"/>
      <c r="AN10" s="438" t="str">
        <f t="shared" si="0"/>
        <v>Добавить группу потребителей</v>
      </c>
      <c r="AO10" s="438"/>
      <c r="AP10" s="438"/>
      <c r="AQ10" s="1076">
        <v>0</v>
      </c>
    </row>
    <row r="11" spans="1:43" ht="14.25" hidden="1" customHeight="1">
      <c r="A11" s="1284"/>
      <c r="B11" s="1284"/>
      <c r="C11" s="1284"/>
      <c r="D11" s="1284"/>
      <c r="E11" s="5470"/>
      <c r="F11" s="5470"/>
      <c r="G11" s="5470"/>
      <c r="H11" s="5469"/>
      <c r="I11" s="1284"/>
      <c r="J11" s="1284"/>
      <c r="K11" s="1284"/>
      <c r="L11" s="1285"/>
      <c r="M11" s="1286"/>
      <c r="N11" s="1286"/>
      <c r="O11" s="475"/>
      <c r="P11" s="298"/>
      <c r="Q11" s="313"/>
      <c r="R11" s="293"/>
      <c r="S11" s="1199"/>
      <c r="T11" s="310" t="s">
        <v>578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76">
        <v>0</v>
      </c>
    </row>
    <row r="12" spans="1:43" s="4275" customFormat="1" ht="14.25" hidden="1" customHeight="1">
      <c r="A12" s="1264"/>
      <c r="B12" s="1264"/>
      <c r="C12" s="1235"/>
      <c r="D12" s="1235"/>
      <c r="E12" s="5470"/>
      <c r="F12" s="5469"/>
      <c r="G12" s="1235"/>
      <c r="H12" s="1235"/>
      <c r="I12" s="1235"/>
      <c r="J12" s="1235"/>
      <c r="K12" s="1235"/>
      <c r="L12" s="1347"/>
      <c r="M12" s="1242"/>
      <c r="N12" s="1242"/>
      <c r="P12" s="1237"/>
      <c r="Q12" s="1238"/>
      <c r="R12" s="1237"/>
      <c r="S12" s="1243"/>
      <c r="T12" s="1246" t="s">
        <v>312</v>
      </c>
      <c r="U12" s="1245"/>
      <c r="V12" s="1245"/>
      <c r="W12" s="1245"/>
      <c r="X12" s="1245"/>
      <c r="Y12" s="1245"/>
      <c r="Z12" s="1245"/>
      <c r="AA12" s="1245"/>
      <c r="AB12" s="1245"/>
      <c r="AC12" s="1245"/>
      <c r="AD12" s="1245"/>
      <c r="AE12" s="1245"/>
      <c r="AF12" s="1245"/>
      <c r="AG12" s="1245"/>
      <c r="AH12" s="1245"/>
      <c r="AI12" s="1245"/>
      <c r="AJ12" s="1245"/>
      <c r="AK12" s="1245"/>
      <c r="AM12" s="721"/>
      <c r="AN12" s="721" t="str">
        <f t="shared" si="0"/>
        <v>Добавить централизованную систему для дифференциации</v>
      </c>
      <c r="AO12" s="721"/>
      <c r="AP12" s="721"/>
      <c r="AQ12" s="456">
        <v>0</v>
      </c>
    </row>
    <row r="13" spans="1:43" s="4275" customFormat="1" ht="14.25" hidden="1" customHeight="1">
      <c r="A13" s="1264"/>
      <c r="B13" s="1264"/>
      <c r="C13" s="1264"/>
      <c r="D13" s="1264"/>
      <c r="E13" s="5469"/>
      <c r="F13" s="1264"/>
      <c r="G13" s="1264"/>
      <c r="H13" s="1264"/>
      <c r="I13" s="1264"/>
      <c r="J13" s="1264"/>
      <c r="K13" s="1264"/>
      <c r="L13" s="1267"/>
      <c r="M13" s="1242"/>
      <c r="N13" s="1242"/>
      <c r="O13" s="456"/>
      <c r="P13" s="318"/>
      <c r="Q13" s="1265"/>
      <c r="R13" s="318"/>
      <c r="S13" s="1243"/>
      <c r="T13" s="1246" t="s">
        <v>360</v>
      </c>
      <c r="U13" s="1245"/>
      <c r="V13" s="1245"/>
      <c r="W13" s="1245"/>
      <c r="X13" s="1245"/>
      <c r="Y13" s="1245"/>
      <c r="Z13" s="1245"/>
      <c r="AA13" s="1245"/>
      <c r="AB13" s="1245"/>
      <c r="AC13" s="1245"/>
      <c r="AD13" s="1245"/>
      <c r="AE13" s="1245"/>
      <c r="AF13" s="1245"/>
      <c r="AG13" s="1245"/>
      <c r="AH13" s="1245"/>
      <c r="AI13" s="1245"/>
      <c r="AJ13" s="1245"/>
      <c r="AK13" s="1245"/>
      <c r="AM13" s="438"/>
      <c r="AN13" s="438" t="str">
        <f t="shared" si="0"/>
        <v>Добавить территорию для дифференциации</v>
      </c>
      <c r="AO13" s="438"/>
      <c r="AP13" s="438"/>
      <c r="AQ13" s="449">
        <v>0</v>
      </c>
    </row>
    <row r="14" spans="1:43" ht="14.25" hidden="1" customHeight="1">
      <c r="AB14" s="265"/>
      <c r="AI14" s="265"/>
      <c r="AQ14" s="1076">
        <v>0</v>
      </c>
    </row>
    <row r="15" spans="1:43" ht="14.25" hidden="1" customHeight="1">
      <c r="AC15" s="1281"/>
      <c r="AD15" s="1281"/>
      <c r="AE15" s="1282"/>
      <c r="AF15" s="5467"/>
      <c r="AG15" s="5466" t="s">
        <v>66</v>
      </c>
      <c r="AH15" s="5467"/>
      <c r="AI15" s="5466" t="s">
        <v>66</v>
      </c>
      <c r="AQ15" s="1076">
        <v>0</v>
      </c>
    </row>
    <row r="16" spans="1:43" ht="14.25" hidden="1" customHeight="1">
      <c r="AC16" s="1281"/>
      <c r="AD16" s="1281"/>
      <c r="AE16" s="266" t="str">
        <f>AF15&amp;"-"&amp;AH15</f>
        <v>-</v>
      </c>
      <c r="AF16" s="5466"/>
      <c r="AG16" s="5466"/>
      <c r="AH16" s="5466"/>
      <c r="AI16" s="5466"/>
      <c r="AQ16" s="1076">
        <v>0</v>
      </c>
    </row>
    <row r="17" spans="1:43" ht="14.25" hidden="1" customHeight="1">
      <c r="AI17" s="265"/>
      <c r="AQ17" s="1076">
        <v>0</v>
      </c>
    </row>
    <row r="18" spans="1:43" s="4274" customFormat="1" ht="22.5" hidden="1" customHeight="1">
      <c r="L18" s="1342"/>
      <c r="M18" s="1283"/>
      <c r="N18" s="1283"/>
      <c r="O18" s="1288" t="s">
        <v>508</v>
      </c>
      <c r="P18" s="1283"/>
      <c r="Q18" s="1292"/>
      <c r="R18" s="1292"/>
      <c r="S18" s="667"/>
      <c r="Y18" s="1288"/>
      <c r="AA18" s="1288"/>
      <c r="AB18" s="1287"/>
      <c r="AF18" s="1288"/>
      <c r="AH18" s="1288"/>
      <c r="AI18" s="1287"/>
      <c r="AL18" s="449"/>
      <c r="AM18" s="449"/>
      <c r="AN18" s="449"/>
      <c r="AO18" s="449"/>
      <c r="AP18" s="449"/>
      <c r="AQ18" s="1081">
        <v>0</v>
      </c>
    </row>
    <row r="19" spans="1:43" s="4274" customFormat="1" ht="14.25" hidden="1" customHeight="1">
      <c r="L19" s="1342"/>
      <c r="M19" s="1283"/>
      <c r="N19" s="1283"/>
      <c r="O19" s="1283"/>
      <c r="P19" s="1283"/>
      <c r="Q19" s="1292"/>
      <c r="R19" s="1292"/>
      <c r="S19" s="667"/>
      <c r="AB19" s="1287"/>
      <c r="AI19" s="1287"/>
      <c r="AL19" s="449"/>
      <c r="AM19" s="449"/>
      <c r="AN19" s="449"/>
      <c r="AO19" s="449"/>
      <c r="AP19" s="449"/>
      <c r="AQ19" s="1081">
        <v>0</v>
      </c>
    </row>
    <row r="20" spans="1:43" s="4274" customFormat="1" ht="12" hidden="1" customHeight="1">
      <c r="L20" s="1342"/>
      <c r="M20" s="1283"/>
      <c r="N20" s="1283"/>
      <c r="O20" s="1285" t="s">
        <v>509</v>
      </c>
      <c r="P20" s="1283"/>
      <c r="Q20" s="1363"/>
      <c r="R20" s="1363"/>
      <c r="S20" s="667"/>
      <c r="T20" s="1081" t="s">
        <v>510</v>
      </c>
      <c r="Z20" s="124" t="s">
        <v>511</v>
      </c>
      <c r="AB20" s="124" t="s">
        <v>512</v>
      </c>
      <c r="AC20" s="1081" t="s">
        <v>510</v>
      </c>
      <c r="AG20" s="124" t="s">
        <v>513</v>
      </c>
      <c r="AI20" s="124" t="s">
        <v>512</v>
      </c>
      <c r="AQ20" s="1081">
        <v>0</v>
      </c>
    </row>
    <row r="21" spans="1:43" ht="14.25" hidden="1" customHeight="1">
      <c r="O21" s="1285"/>
      <c r="AQ21" s="1076">
        <v>0</v>
      </c>
    </row>
    <row r="22" spans="1:43" ht="14.25" hidden="1" customHeight="1">
      <c r="O22" s="1285"/>
      <c r="AQ22" s="1076">
        <v>0</v>
      </c>
    </row>
    <row r="23" spans="1:43" ht="14.65" customHeight="1">
      <c r="Q23" s="314"/>
      <c r="R23" s="314"/>
      <c r="S23" s="1196"/>
      <c r="T23" s="301"/>
      <c r="U23" s="301"/>
      <c r="V23" s="447"/>
      <c r="W23" s="447"/>
      <c r="X23" s="447"/>
      <c r="Y23" s="447"/>
      <c r="Z23" s="447"/>
      <c r="AA23" s="447"/>
      <c r="AB23" s="447"/>
      <c r="AC23" s="447"/>
      <c r="AD23" s="447"/>
      <c r="AE23" s="447"/>
      <c r="AF23" s="447"/>
      <c r="AG23" s="447"/>
      <c r="AH23" s="447"/>
      <c r="AI23" s="447"/>
      <c r="AQ23" s="1076">
        <v>14</v>
      </c>
    </row>
    <row r="24" spans="1:43" ht="14.65" customHeight="1">
      <c r="Q24" s="314"/>
      <c r="R24" s="314"/>
      <c r="S24" s="54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450"/>
      <c r="U24" s="5450"/>
      <c r="V24" s="5450"/>
      <c r="W24" s="5450"/>
      <c r="X24" s="5450"/>
      <c r="Y24" s="5450"/>
      <c r="Z24" s="5450"/>
      <c r="AA24" s="5450"/>
      <c r="AB24" s="5450"/>
      <c r="AC24" s="5450"/>
      <c r="AD24" s="5450"/>
      <c r="AE24" s="5450"/>
      <c r="AF24" s="5450"/>
      <c r="AG24" s="5450"/>
      <c r="AH24" s="5450"/>
      <c r="AI24" s="1164"/>
      <c r="AQ24" s="1076">
        <v>14</v>
      </c>
    </row>
    <row r="25" spans="1:43" ht="14.65" customHeight="1">
      <c r="Q25" s="314"/>
      <c r="R25" s="314"/>
      <c r="S25" s="5423" t="str">
        <f>IF(org=0,"Не определено",org)</f>
        <v>КГУП "Примтеплоэнерго"</v>
      </c>
      <c r="T25" s="5423"/>
      <c r="U25" s="5423"/>
      <c r="V25" s="5423"/>
      <c r="W25" s="5423"/>
      <c r="X25" s="5423"/>
      <c r="Y25" s="5423"/>
      <c r="Z25" s="5423"/>
      <c r="AA25" s="5423"/>
      <c r="AB25" s="5423"/>
      <c r="AC25" s="5423"/>
      <c r="AD25" s="5423"/>
      <c r="AE25" s="5423"/>
      <c r="AF25" s="5423"/>
      <c r="AG25" s="5423"/>
      <c r="AH25" s="5423"/>
      <c r="AI25" s="1164"/>
      <c r="AQ25" s="1076">
        <v>14</v>
      </c>
    </row>
    <row r="26" spans="1:43" ht="14.25" hidden="1" customHeight="1">
      <c r="Q26" s="314"/>
      <c r="R26" s="314"/>
      <c r="S26" s="1196"/>
      <c r="T26" s="301"/>
      <c r="U26" s="301"/>
      <c r="V26" s="260"/>
      <c r="W26" s="260"/>
      <c r="X26" s="260"/>
      <c r="Y26" s="260"/>
      <c r="Z26" s="260"/>
      <c r="AA26" s="260"/>
      <c r="AB26" s="260"/>
      <c r="AC26" s="260"/>
      <c r="AD26" s="260"/>
      <c r="AE26" s="260"/>
      <c r="AF26" s="260"/>
      <c r="AG26" s="260"/>
      <c r="AH26" s="260"/>
      <c r="AI26" s="260"/>
      <c r="AJ26" s="447"/>
      <c r="AQ26" s="1076">
        <v>0</v>
      </c>
    </row>
    <row r="27" spans="1:43" s="4284" customFormat="1" ht="25.5" hidden="1" customHeight="1">
      <c r="A27" s="1289"/>
      <c r="B27" s="1289"/>
      <c r="C27" s="1289"/>
      <c r="D27" s="1289"/>
      <c r="E27" s="1289"/>
      <c r="F27" s="1289"/>
      <c r="G27" s="1289"/>
      <c r="H27" s="1289"/>
      <c r="I27" s="1289"/>
      <c r="J27" s="1289"/>
      <c r="K27" s="1289"/>
      <c r="L27" s="1290"/>
      <c r="M27" s="1289"/>
      <c r="N27" s="1289"/>
      <c r="O27" s="1289"/>
      <c r="S27" s="5460" t="s">
        <v>42</v>
      </c>
      <c r="T27" s="5460"/>
      <c r="U27" s="1293"/>
      <c r="V27" s="5462" t="str">
        <f>IF(TITLE_NAME_OR_PR_CHANGE="",IF(TITLE_NAME_OR_PR="","",TITLE_NAME_OR_PR),TITLE_NAME_OR_PR_CHANGE)</f>
        <v/>
      </c>
      <c r="W27" s="5462"/>
      <c r="X27" s="5462"/>
      <c r="Y27" s="5462"/>
      <c r="Z27" s="5462"/>
      <c r="AA27" s="5462"/>
      <c r="AB27" s="264"/>
      <c r="AC27" s="5462" t="str">
        <f>IF(TITLE_NAME_OR_PR_CHANGE="",IF(TITLE_NAME_OR_PR="","",TITLE_NAME_OR_PR),TITLE_NAME_OR_PR_CHANGE)</f>
        <v/>
      </c>
      <c r="AD27" s="5462"/>
      <c r="AE27" s="5462"/>
      <c r="AF27" s="5462"/>
      <c r="AG27" s="5462"/>
      <c r="AH27" s="5462"/>
      <c r="AI27" s="264"/>
      <c r="AJ27" s="264"/>
      <c r="AK27" s="218"/>
      <c r="AL27" s="306"/>
      <c r="AM27" s="306"/>
      <c r="AN27" s="306"/>
      <c r="AO27" s="306"/>
      <c r="AP27" s="306"/>
      <c r="AQ27" s="356">
        <v>0</v>
      </c>
    </row>
    <row r="28" spans="1:43" s="4284" customFormat="1" ht="18.75" hidden="1" customHeight="1">
      <c r="A28" s="1289"/>
      <c r="B28" s="1289"/>
      <c r="C28" s="1289"/>
      <c r="D28" s="1289"/>
      <c r="E28" s="1289"/>
      <c r="F28" s="1289"/>
      <c r="G28" s="1289"/>
      <c r="H28" s="1289"/>
      <c r="I28" s="1289"/>
      <c r="J28" s="1289"/>
      <c r="K28" s="1289"/>
      <c r="L28" s="1290"/>
      <c r="M28" s="1289"/>
      <c r="N28" s="1289"/>
      <c r="O28" s="1289"/>
      <c r="S28" s="5460" t="s">
        <v>514</v>
      </c>
      <c r="T28" s="5460"/>
      <c r="U28" s="1293"/>
      <c r="V28" s="5461">
        <f>IF(TITLE_DATE_PR_CHANGE="",IF(TITLE_DATE_PR="","",TITLE_DATE_PR),TITLE_DATE_PR_CHANGE)</f>
        <v>45649.605891203704</v>
      </c>
      <c r="W28" s="5461"/>
      <c r="X28" s="5461"/>
      <c r="Y28" s="5461"/>
      <c r="Z28" s="5461"/>
      <c r="AA28" s="5461"/>
      <c r="AB28" s="264"/>
      <c r="AC28" s="5461">
        <f>IF(TITLE_DATE_PR_CHANGE="",IF(TITLE_DATE_PR="","",TITLE_DATE_PR),TITLE_DATE_PR_CHANGE)</f>
        <v>45649.605891203704</v>
      </c>
      <c r="AD28" s="5461"/>
      <c r="AE28" s="5461"/>
      <c r="AF28" s="5461"/>
      <c r="AG28" s="5461"/>
      <c r="AH28" s="5461"/>
      <c r="AI28" s="264"/>
      <c r="AJ28" s="264"/>
      <c r="AK28" s="218"/>
      <c r="AL28" s="306"/>
      <c r="AM28" s="306"/>
      <c r="AN28" s="306"/>
      <c r="AO28" s="306"/>
      <c r="AP28" s="306"/>
      <c r="AQ28" s="356">
        <v>0</v>
      </c>
    </row>
    <row r="29" spans="1:43" s="4284" customFormat="1" ht="18.75" hidden="1" customHeight="1">
      <c r="A29" s="1289"/>
      <c r="B29" s="1289"/>
      <c r="C29" s="1289"/>
      <c r="D29" s="1289"/>
      <c r="E29" s="1289"/>
      <c r="F29" s="1289"/>
      <c r="G29" s="1289"/>
      <c r="H29" s="1289"/>
      <c r="I29" s="1289"/>
      <c r="J29" s="1289"/>
      <c r="K29" s="1289"/>
      <c r="L29" s="1290"/>
      <c r="M29" s="1289"/>
      <c r="N29" s="1289"/>
      <c r="O29" s="1289"/>
      <c r="S29" s="5460" t="s">
        <v>515</v>
      </c>
      <c r="T29" s="5460"/>
      <c r="U29" s="1293"/>
      <c r="V29" s="5462" t="str">
        <f>IF(TITLE_NUMBER_PR_CHANGE="",IF(TITLE_NUMBER_PR="","",TITLE_NUMBER_PR),TITLE_NUMBER_PR_CHANGE)</f>
        <v>27-6414</v>
      </c>
      <c r="W29" s="5462"/>
      <c r="X29" s="5462"/>
      <c r="Y29" s="5462"/>
      <c r="Z29" s="5462"/>
      <c r="AA29" s="5462"/>
      <c r="AB29" s="264"/>
      <c r="AC29" s="5462" t="str">
        <f>IF(TITLE_NUMBER_PR_CHANGE="",IF(TITLE_NUMBER_PR="","",TITLE_NUMBER_PR),TITLE_NUMBER_PR_CHANGE)</f>
        <v>27-6414</v>
      </c>
      <c r="AD29" s="5462"/>
      <c r="AE29" s="5462"/>
      <c r="AF29" s="5462"/>
      <c r="AG29" s="5462"/>
      <c r="AH29" s="5462"/>
      <c r="AI29" s="264"/>
      <c r="AJ29" s="264"/>
      <c r="AK29" s="218"/>
      <c r="AL29" s="306"/>
      <c r="AM29" s="306"/>
      <c r="AN29" s="306"/>
      <c r="AO29" s="306"/>
      <c r="AP29" s="306"/>
      <c r="AQ29" s="356">
        <v>0</v>
      </c>
    </row>
    <row r="30" spans="1:43" s="4284" customFormat="1" ht="18.75" hidden="1" customHeight="1">
      <c r="A30" s="1289"/>
      <c r="B30" s="1289"/>
      <c r="C30" s="1289"/>
      <c r="D30" s="1289"/>
      <c r="E30" s="1289"/>
      <c r="F30" s="1289"/>
      <c r="G30" s="1289"/>
      <c r="H30" s="1289"/>
      <c r="I30" s="1289"/>
      <c r="J30" s="1289"/>
      <c r="K30" s="1289"/>
      <c r="L30" s="1290"/>
      <c r="M30" s="1289"/>
      <c r="N30" s="1289"/>
      <c r="O30" s="1289"/>
      <c r="S30" s="5460" t="s">
        <v>43</v>
      </c>
      <c r="T30" s="5460"/>
      <c r="U30" s="1293"/>
      <c r="V30" s="5462" t="str">
        <f>IF(TITLE_IST_PUB_CHANGE="",IF(TITLE_IST_PUB="","",TITLE_IST_PUB),TITLE_IST_PUB_CHANGE)</f>
        <v/>
      </c>
      <c r="W30" s="5462"/>
      <c r="X30" s="5462"/>
      <c r="Y30" s="5462"/>
      <c r="Z30" s="5462"/>
      <c r="AA30" s="5462"/>
      <c r="AB30" s="264"/>
      <c r="AC30" s="5462" t="str">
        <f>IF(TITLE_IST_PUB_CHANGE="",IF(TITLE_IST_PUB="","",TITLE_IST_PUB),TITLE_IST_PUB_CHANGE)</f>
        <v/>
      </c>
      <c r="AD30" s="5462"/>
      <c r="AE30" s="5462"/>
      <c r="AF30" s="5462"/>
      <c r="AG30" s="5462"/>
      <c r="AH30" s="5462"/>
      <c r="AI30" s="264"/>
      <c r="AJ30" s="264"/>
      <c r="AK30" s="218"/>
      <c r="AL30" s="306"/>
      <c r="AM30" s="306"/>
      <c r="AN30" s="306"/>
      <c r="AO30" s="306"/>
      <c r="AP30" s="306"/>
      <c r="AQ30" s="356">
        <v>0</v>
      </c>
    </row>
    <row r="31" spans="1:43" ht="14.25" customHeight="1">
      <c r="Q31" s="314"/>
      <c r="R31" s="314"/>
      <c r="S31" s="1196"/>
      <c r="T31" s="301"/>
      <c r="U31" s="301"/>
      <c r="V31" s="260"/>
      <c r="W31" s="260"/>
      <c r="X31" s="260"/>
      <c r="Y31" s="260"/>
      <c r="Z31" s="260"/>
      <c r="AA31" s="260"/>
      <c r="AB31" s="260"/>
      <c r="AC31" s="260"/>
      <c r="AD31" s="260"/>
      <c r="AE31" s="260"/>
      <c r="AF31" s="260"/>
      <c r="AG31" s="260"/>
      <c r="AH31" s="260"/>
      <c r="AI31" s="260"/>
      <c r="AJ31" s="447"/>
      <c r="AQ31" s="1076">
        <v>0</v>
      </c>
    </row>
    <row r="32" spans="1:43" s="4284" customFormat="1" ht="18.75" customHeight="1">
      <c r="A32" s="1289"/>
      <c r="B32" s="1289"/>
      <c r="C32" s="1289"/>
      <c r="D32" s="1289"/>
      <c r="E32" s="1289"/>
      <c r="F32" s="1289"/>
      <c r="G32" s="1289"/>
      <c r="H32" s="1289"/>
      <c r="I32" s="1289"/>
      <c r="J32" s="1289"/>
      <c r="K32" s="1289"/>
      <c r="L32" s="1290"/>
      <c r="M32" s="1289"/>
      <c r="N32" s="1289"/>
      <c r="O32" s="1289"/>
      <c r="S32" s="5460" t="s">
        <v>516</v>
      </c>
      <c r="T32" s="5460"/>
      <c r="U32" s="1293"/>
      <c r="V32" s="5461">
        <f>IF(TITLE_DATE_PR_CHANGE="",IF(TITLE_DATE_PR="","",TITLE_DATE_PR),TITLE_DATE_PR_CHANGE)</f>
        <v>45649.605891203704</v>
      </c>
      <c r="W32" s="5461"/>
      <c r="X32" s="5461"/>
      <c r="Y32" s="5461"/>
      <c r="Z32" s="5461"/>
      <c r="AA32" s="5461"/>
      <c r="AB32" s="264"/>
      <c r="AC32" s="5461">
        <f>IF(TITLE_DATE_PR_CHANGE="",IF(TITLE_DATE_PR="","",TITLE_DATE_PR),TITLE_DATE_PR_CHANGE)</f>
        <v>45649.605891203704</v>
      </c>
      <c r="AD32" s="5461"/>
      <c r="AE32" s="5461"/>
      <c r="AF32" s="5461"/>
      <c r="AG32" s="5461"/>
      <c r="AH32" s="5461"/>
      <c r="AI32" s="264"/>
      <c r="AJ32" s="264"/>
      <c r="AK32" s="218"/>
      <c r="AL32" s="306"/>
      <c r="AM32" s="306"/>
      <c r="AN32" s="306"/>
      <c r="AO32" s="306"/>
      <c r="AP32" s="306"/>
      <c r="AQ32" s="356">
        <v>0</v>
      </c>
    </row>
    <row r="33" spans="1:43" s="4284" customFormat="1" ht="18.75" customHeight="1">
      <c r="A33" s="1289"/>
      <c r="B33" s="1289"/>
      <c r="C33" s="1289"/>
      <c r="D33" s="1289"/>
      <c r="E33" s="1289"/>
      <c r="F33" s="1289"/>
      <c r="G33" s="1289"/>
      <c r="H33" s="1289"/>
      <c r="I33" s="1289"/>
      <c r="J33" s="1289"/>
      <c r="K33" s="1289"/>
      <c r="L33" s="1290"/>
      <c r="M33" s="1289"/>
      <c r="N33" s="1289"/>
      <c r="O33" s="1289"/>
      <c r="S33" s="5460" t="s">
        <v>517</v>
      </c>
      <c r="T33" s="5460"/>
      <c r="U33" s="1293"/>
      <c r="V33" s="5462" t="str">
        <f>IF(TITLE_NUMBER_PR_CHANGE="",IF(TITLE_NUMBER_PR="","",TITLE_NUMBER_PR),TITLE_NUMBER_PR_CHANGE)</f>
        <v>27-6414</v>
      </c>
      <c r="W33" s="5462"/>
      <c r="X33" s="5462"/>
      <c r="Y33" s="5462"/>
      <c r="Z33" s="5462"/>
      <c r="AA33" s="5462"/>
      <c r="AB33" s="264"/>
      <c r="AC33" s="5462" t="str">
        <f>IF(TITLE_NUMBER_PR_CHANGE="",IF(TITLE_NUMBER_PR="","",TITLE_NUMBER_PR),TITLE_NUMBER_PR_CHANGE)</f>
        <v>27-6414</v>
      </c>
      <c r="AD33" s="5462"/>
      <c r="AE33" s="5462"/>
      <c r="AF33" s="5462"/>
      <c r="AG33" s="5462"/>
      <c r="AH33" s="5462"/>
      <c r="AI33" s="264"/>
      <c r="AJ33" s="264"/>
      <c r="AK33" s="218"/>
      <c r="AL33" s="306"/>
      <c r="AM33" s="306"/>
      <c r="AN33" s="306"/>
      <c r="AO33" s="306"/>
      <c r="AP33" s="306"/>
      <c r="AQ33" s="356">
        <v>0</v>
      </c>
    </row>
    <row r="34" spans="1:43" s="4284" customFormat="1" ht="1.1499999999999999" customHeight="1">
      <c r="A34" s="1289"/>
      <c r="B34" s="1289"/>
      <c r="C34" s="1289"/>
      <c r="D34" s="1289"/>
      <c r="E34" s="1289"/>
      <c r="F34" s="1289"/>
      <c r="G34" s="1289"/>
      <c r="H34" s="1289"/>
      <c r="I34" s="1289"/>
      <c r="J34" s="1289"/>
      <c r="K34" s="1289"/>
      <c r="L34" s="1290"/>
      <c r="M34" s="1289"/>
      <c r="N34" s="1289"/>
      <c r="O34" s="1289"/>
      <c r="S34" s="261"/>
      <c r="T34" s="261"/>
      <c r="U34" s="1276"/>
      <c r="V34" s="264"/>
      <c r="W34" s="264"/>
      <c r="X34" s="264"/>
      <c r="Y34" s="264"/>
      <c r="Z34" s="264"/>
      <c r="AA34" s="264"/>
      <c r="AB34" s="216" t="s">
        <v>518</v>
      </c>
      <c r="AC34" s="264"/>
      <c r="AD34" s="264"/>
      <c r="AE34" s="264"/>
      <c r="AF34" s="264"/>
      <c r="AG34" s="264"/>
      <c r="AH34" s="264"/>
      <c r="AI34" s="216" t="s">
        <v>518</v>
      </c>
      <c r="AL34" s="306"/>
      <c r="AM34" s="306"/>
      <c r="AN34" s="306"/>
      <c r="AO34" s="306"/>
      <c r="AP34" s="306"/>
      <c r="AQ34" s="356">
        <v>1</v>
      </c>
    </row>
    <row r="35" spans="1:43" ht="14.65" customHeight="1">
      <c r="Q35" s="314"/>
      <c r="R35" s="314"/>
      <c r="S35" s="1196"/>
      <c r="T35" s="301"/>
      <c r="U35" s="1165"/>
      <c r="V35" s="5481"/>
      <c r="W35" s="5481"/>
      <c r="X35" s="5481"/>
      <c r="Y35" s="5481"/>
      <c r="Z35" s="5481"/>
      <c r="AA35" s="5481"/>
      <c r="AB35" s="5481"/>
      <c r="AC35" s="5481"/>
      <c r="AD35" s="5481"/>
      <c r="AE35" s="5481"/>
      <c r="AF35" s="5481"/>
      <c r="AG35" s="5481"/>
      <c r="AH35" s="5481"/>
      <c r="AI35" s="5481"/>
      <c r="AQ35" s="1076">
        <v>14</v>
      </c>
    </row>
    <row r="36" spans="1:43" ht="14.65" customHeight="1">
      <c r="Q36" s="314"/>
      <c r="R36" s="314"/>
      <c r="S36" s="5328" t="s">
        <v>393</v>
      </c>
      <c r="T36" s="5328"/>
      <c r="U36" s="5328"/>
      <c r="V36" s="5328"/>
      <c r="W36" s="5328"/>
      <c r="X36" s="5328"/>
      <c r="Y36" s="5328"/>
      <c r="Z36" s="5328"/>
      <c r="AA36" s="5328"/>
      <c r="AB36" s="5328"/>
      <c r="AC36" s="5328"/>
      <c r="AD36" s="5328"/>
      <c r="AE36" s="5328"/>
      <c r="AF36" s="5328"/>
      <c r="AG36" s="5328"/>
      <c r="AH36" s="5328"/>
      <c r="AI36" s="5328"/>
      <c r="AJ36" s="5328"/>
      <c r="AK36" s="5328" t="s">
        <v>394</v>
      </c>
      <c r="AQ36" s="1076">
        <v>14</v>
      </c>
    </row>
    <row r="37" spans="1:43" ht="14.65" customHeight="1">
      <c r="Q37" s="314"/>
      <c r="R37" s="314"/>
      <c r="S37" s="5482" t="s">
        <v>88</v>
      </c>
      <c r="T37" s="5431" t="s">
        <v>519</v>
      </c>
      <c r="U37" s="239"/>
      <c r="V37" s="5483" t="s">
        <v>520</v>
      </c>
      <c r="W37" s="5484"/>
      <c r="X37" s="5484"/>
      <c r="Y37" s="5484"/>
      <c r="Z37" s="5484"/>
      <c r="AA37" s="5485"/>
      <c r="AB37" s="5486" t="s">
        <v>521</v>
      </c>
      <c r="AC37" s="5483" t="s">
        <v>520</v>
      </c>
      <c r="AD37" s="5484"/>
      <c r="AE37" s="5484"/>
      <c r="AF37" s="5484"/>
      <c r="AG37" s="5484"/>
      <c r="AH37" s="5485"/>
      <c r="AI37" s="5486" t="s">
        <v>522</v>
      </c>
      <c r="AJ37" s="5489" t="s">
        <v>523</v>
      </c>
      <c r="AK37" s="5328"/>
      <c r="AQ37" s="1076">
        <v>14</v>
      </c>
    </row>
    <row r="38" spans="1:43" ht="35.65" customHeight="1">
      <c r="Q38" s="314"/>
      <c r="R38" s="314"/>
      <c r="S38" s="5482"/>
      <c r="T38" s="5431"/>
      <c r="U38" s="956"/>
      <c r="V38" s="1273" t="s">
        <v>579</v>
      </c>
      <c r="W38" s="5309" t="s">
        <v>526</v>
      </c>
      <c r="X38" s="5308"/>
      <c r="Y38" s="5309" t="s">
        <v>527</v>
      </c>
      <c r="Z38" s="5314"/>
      <c r="AA38" s="5308"/>
      <c r="AB38" s="5487"/>
      <c r="AC38" s="1273" t="s">
        <v>579</v>
      </c>
      <c r="AD38" s="5309" t="s">
        <v>526</v>
      </c>
      <c r="AE38" s="5308"/>
      <c r="AF38" s="5309" t="s">
        <v>527</v>
      </c>
      <c r="AG38" s="5314"/>
      <c r="AH38" s="5308"/>
      <c r="AI38" s="5487"/>
      <c r="AJ38" s="5490"/>
      <c r="AK38" s="5328"/>
      <c r="AQ38" s="1076">
        <v>34</v>
      </c>
    </row>
    <row r="39" spans="1:43" ht="35.65" customHeight="1">
      <c r="A39" s="1291"/>
      <c r="B39" s="1291" t="s">
        <v>167</v>
      </c>
      <c r="C39" s="1291" t="s">
        <v>168</v>
      </c>
      <c r="D39" s="1291" t="s">
        <v>169</v>
      </c>
      <c r="E39" s="1285" t="s">
        <v>528</v>
      </c>
      <c r="F39" s="1285" t="s">
        <v>529</v>
      </c>
      <c r="G39" s="1285" t="s">
        <v>530</v>
      </c>
      <c r="H39" s="1285"/>
      <c r="I39" s="1285" t="s">
        <v>580</v>
      </c>
      <c r="J39" s="1285" t="s">
        <v>533</v>
      </c>
      <c r="K39" s="1285" t="s">
        <v>581</v>
      </c>
      <c r="L39" s="1285" t="s">
        <v>509</v>
      </c>
      <c r="Q39" s="314"/>
      <c r="R39" s="314"/>
      <c r="S39" s="5482"/>
      <c r="T39" s="5431"/>
      <c r="U39" s="240"/>
      <c r="V39" s="1273" t="s">
        <v>582</v>
      </c>
      <c r="W39" s="1143" t="s">
        <v>583</v>
      </c>
      <c r="X39" s="1143" t="s">
        <v>584</v>
      </c>
      <c r="Y39" s="1278" t="s">
        <v>537</v>
      </c>
      <c r="Z39" s="5436" t="s">
        <v>538</v>
      </c>
      <c r="AA39" s="5449"/>
      <c r="AB39" s="5488"/>
      <c r="AC39" s="1273" t="s">
        <v>582</v>
      </c>
      <c r="AD39" s="1143" t="s">
        <v>583</v>
      </c>
      <c r="AE39" s="1143" t="s">
        <v>584</v>
      </c>
      <c r="AF39" s="1278" t="s">
        <v>537</v>
      </c>
      <c r="AG39" s="5436" t="s">
        <v>538</v>
      </c>
      <c r="AH39" s="5449"/>
      <c r="AI39" s="5488"/>
      <c r="AJ39" s="5491"/>
      <c r="AK39" s="5328"/>
      <c r="AQ39" s="1076">
        <v>34</v>
      </c>
    </row>
    <row r="40" spans="1:43" s="4299" customFormat="1" ht="11.25" hidden="1" customHeight="1">
      <c r="A40" s="1291"/>
      <c r="B40" s="1291"/>
      <c r="C40" s="1291"/>
      <c r="D40" s="1291"/>
      <c r="E40" s="1291"/>
      <c r="F40" s="1291"/>
      <c r="G40" s="1291"/>
      <c r="H40" s="1291"/>
      <c r="I40" s="1291"/>
      <c r="J40" s="1291"/>
      <c r="K40" s="1291"/>
      <c r="L40" s="1285"/>
      <c r="M40" s="1283"/>
      <c r="N40" s="1283"/>
      <c r="O40" s="1283"/>
      <c r="P40" s="1167"/>
      <c r="Q40" s="1168"/>
      <c r="R40" s="1175">
        <v>1</v>
      </c>
      <c r="S40" s="1198" t="s">
        <v>136</v>
      </c>
      <c r="T40" s="1176" t="s">
        <v>103</v>
      </c>
      <c r="U40" s="1166" t="str">
        <f ca="1">OFFSET(U40,0,-1)</f>
        <v>2</v>
      </c>
      <c r="V40" s="1274">
        <f ca="1">OFFSET(V40,0,-1)+1</f>
        <v>3</v>
      </c>
      <c r="W40" s="1274">
        <f ca="1">OFFSET(W40,0,-1)+1</f>
        <v>4</v>
      </c>
      <c r="X40" s="1274">
        <f ca="1">OFFSET(X40,0,-1)+1</f>
        <v>5</v>
      </c>
      <c r="Y40" s="1274">
        <f ca="1">OFFSET(Y40,0,-1)+1</f>
        <v>6</v>
      </c>
      <c r="Z40" s="5480">
        <f ca="1">OFFSET(Z40,0,-1)+1</f>
        <v>7</v>
      </c>
      <c r="AA40" s="5480"/>
      <c r="AB40" s="1274">
        <f ca="1">OFFSET(AB40,0,-2)+1</f>
        <v>8</v>
      </c>
      <c r="AC40" s="1274">
        <f ca="1">OFFSET(AC40,0,-1)+1</f>
        <v>9</v>
      </c>
      <c r="AD40" s="1274">
        <f ca="1">OFFSET(AD40,0,-1)+1</f>
        <v>10</v>
      </c>
      <c r="AE40" s="1274">
        <f ca="1">OFFSET(AE40,0,-1)+1</f>
        <v>11</v>
      </c>
      <c r="AF40" s="1274">
        <f ca="1">OFFSET(AF40,0,-1)+1</f>
        <v>12</v>
      </c>
      <c r="AG40" s="5480">
        <f ca="1">OFFSET(AG40,0,-1)+1</f>
        <v>13</v>
      </c>
      <c r="AH40" s="5480"/>
      <c r="AI40" s="1274">
        <f ca="1">OFFSET(AI40,0,-2)+1</f>
        <v>14</v>
      </c>
      <c r="AJ40" s="1166">
        <f ca="1">OFFSET(AJ40,0,-1)</f>
        <v>14</v>
      </c>
      <c r="AK40" s="1274">
        <f ca="1">OFFSET(AK40,0,-1)+1</f>
        <v>15</v>
      </c>
      <c r="AL40" s="449"/>
      <c r="AM40" s="449"/>
      <c r="AN40" s="449"/>
      <c r="AO40" s="449"/>
      <c r="AP40" s="449"/>
      <c r="AQ40" s="434">
        <v>0</v>
      </c>
    </row>
    <row r="41" spans="1:43" ht="24" customHeight="1">
      <c r="A41" s="1284" t="s">
        <v>255</v>
      </c>
      <c r="B41" s="1284"/>
      <c r="C41" s="1284"/>
      <c r="D41" s="1284"/>
      <c r="E41" s="5469">
        <v>1</v>
      </c>
      <c r="F41" s="1284"/>
      <c r="G41" s="1284"/>
      <c r="H41" s="1284"/>
      <c r="I41" s="1284"/>
      <c r="J41" s="1284"/>
      <c r="K41" s="1284"/>
      <c r="L41" s="1285"/>
      <c r="M41" s="1286"/>
      <c r="N41" s="1286"/>
      <c r="O41" s="1286"/>
      <c r="P41" s="299"/>
      <c r="Q41" s="298"/>
      <c r="R41" s="293"/>
      <c r="S41" s="1279">
        <f>INDEX(PT_DIFFERENTIATION_NUM_NTAR,MATCH(A41,PT_DIFFERENTIATION_NTAR_ID,0))</f>
        <v>0</v>
      </c>
      <c r="T41" s="236" t="s">
        <v>155</v>
      </c>
      <c r="U41" s="238"/>
      <c r="V41" s="5463"/>
      <c r="W41" s="5464"/>
      <c r="X41" s="5464"/>
      <c r="Y41" s="5464"/>
      <c r="Z41" s="5464"/>
      <c r="AA41" s="5464"/>
      <c r="AB41" s="5465"/>
      <c r="AC41" s="5463" t="str">
        <f>INDEX(PT_DIFFERENTIATION_NTAR,MATCH(A41,PT_DIFFERENTIATION_NTAR_ID,0))</f>
        <v/>
      </c>
      <c r="AD41" s="5464"/>
      <c r="AE41" s="5464"/>
      <c r="AF41" s="5464"/>
      <c r="AG41" s="5464"/>
      <c r="AH41" s="5464"/>
      <c r="AI41" s="5464"/>
      <c r="AJ41" s="5465"/>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76">
        <v>23</v>
      </c>
    </row>
    <row r="42" spans="1:43" ht="24" customHeight="1">
      <c r="A42" s="1284" t="s">
        <v>255</v>
      </c>
      <c r="B42" s="1284" t="s">
        <v>256</v>
      </c>
      <c r="C42" s="1284"/>
      <c r="D42" s="1284"/>
      <c r="E42" s="5470"/>
      <c r="F42" s="5469">
        <v>1</v>
      </c>
      <c r="G42" s="1284"/>
      <c r="H42" s="1284"/>
      <c r="I42" s="1284"/>
      <c r="J42" s="1284"/>
      <c r="K42" s="1284"/>
      <c r="L42" s="1285"/>
      <c r="M42" s="1286"/>
      <c r="N42" s="1286"/>
      <c r="O42" s="1286"/>
      <c r="P42" s="1277"/>
      <c r="Q42" s="290"/>
      <c r="R42" s="291"/>
      <c r="S42" s="1279" t="str">
        <f>INDEX(PT_DIFFERENTIATION_NUM_TER,MATCH(B42,PT_DIFFERENTIATION_TER_ID,0))</f>
        <v>.</v>
      </c>
      <c r="T42" s="246" t="s">
        <v>490</v>
      </c>
      <c r="U42" s="238"/>
      <c r="V42" s="5463"/>
      <c r="W42" s="5464"/>
      <c r="X42" s="5464"/>
      <c r="Y42" s="5464"/>
      <c r="Z42" s="5464"/>
      <c r="AA42" s="5464"/>
      <c r="AB42" s="5465"/>
      <c r="AC42" s="5463" t="str">
        <f>INDEX(PT_DIFFERENTIATION_TER,MATCH(B42,PT_DIFFERENTIATION_TER_ID,0))</f>
        <v/>
      </c>
      <c r="AD42" s="5464"/>
      <c r="AE42" s="5464"/>
      <c r="AF42" s="5464"/>
      <c r="AG42" s="5464"/>
      <c r="AH42" s="5464"/>
      <c r="AI42" s="5464"/>
      <c r="AJ42" s="5465"/>
      <c r="AK42" s="1179" t="s">
        <v>491</v>
      </c>
      <c r="AM42" s="438"/>
      <c r="AN42" s="438" t="str">
        <f t="shared" si="1"/>
        <v>Территория действия тарифа</v>
      </c>
      <c r="AO42" s="438"/>
      <c r="AP42" s="438"/>
      <c r="AQ42" s="1076">
        <v>23</v>
      </c>
    </row>
    <row r="43" spans="1:43" ht="24" customHeight="1">
      <c r="A43" s="1284" t="s">
        <v>255</v>
      </c>
      <c r="B43" s="1284" t="s">
        <v>256</v>
      </c>
      <c r="C43" s="1284" t="s">
        <v>257</v>
      </c>
      <c r="D43" s="1284"/>
      <c r="E43" s="5470"/>
      <c r="F43" s="5470"/>
      <c r="G43" s="5469">
        <v>1</v>
      </c>
      <c r="H43" s="1284"/>
      <c r="I43" s="1284"/>
      <c r="J43" s="1284"/>
      <c r="K43" s="1284"/>
      <c r="L43" s="1285"/>
      <c r="M43" s="1286"/>
      <c r="N43" s="1286"/>
      <c r="O43" s="1286"/>
      <c r="P43" s="292"/>
      <c r="Q43" s="290"/>
      <c r="R43" s="291"/>
      <c r="S43" s="1279" t="str">
        <f>INDEX(PT_DIFFERENTIATION_NUM_CS,MATCH(C43,PT_DIFFERENTIATION_CS_ID,0))</f>
        <v>..</v>
      </c>
      <c r="T43" s="247" t="s">
        <v>571</v>
      </c>
      <c r="U43" s="238"/>
      <c r="V43" s="5463"/>
      <c r="W43" s="5464"/>
      <c r="X43" s="5464"/>
      <c r="Y43" s="5464"/>
      <c r="Z43" s="5464"/>
      <c r="AA43" s="5464"/>
      <c r="AB43" s="5465"/>
      <c r="AC43" s="5463" t="str">
        <f>INDEX(PT_DIFFERENTIATION_CS,MATCH(C43,PT_DIFFERENTIATION_CS_ID,0))</f>
        <v/>
      </c>
      <c r="AD43" s="5464"/>
      <c r="AE43" s="5464"/>
      <c r="AF43" s="5464"/>
      <c r="AG43" s="5464"/>
      <c r="AH43" s="5464"/>
      <c r="AI43" s="5464"/>
      <c r="AJ43" s="5465"/>
      <c r="AK43" s="1179" t="s">
        <v>572</v>
      </c>
      <c r="AM43" s="438"/>
      <c r="AN43" s="438" t="str">
        <f t="shared" si="1"/>
        <v>Наименование централизованной системы холодного водоснабжения</v>
      </c>
      <c r="AO43" s="438"/>
      <c r="AP43" s="438"/>
      <c r="AQ43" s="1076">
        <v>23</v>
      </c>
    </row>
    <row r="44" spans="1:43" ht="24" customHeight="1">
      <c r="A44" s="1284" t="s">
        <v>255</v>
      </c>
      <c r="B44" s="1284" t="s">
        <v>256</v>
      </c>
      <c r="C44" s="1284" t="s">
        <v>257</v>
      </c>
      <c r="D44" s="1284" t="s">
        <v>585</v>
      </c>
      <c r="E44" s="5470"/>
      <c r="F44" s="5470"/>
      <c r="G44" s="5470"/>
      <c r="H44" s="5470"/>
      <c r="I44" s="5471" t="str">
        <f>S43&amp;".1"</f>
        <v>...1</v>
      </c>
      <c r="J44" s="1284"/>
      <c r="K44" s="1284"/>
      <c r="L44" s="1285"/>
      <c r="P44" s="5473">
        <v>1</v>
      </c>
      <c r="Q44" s="1275"/>
      <c r="R44" s="294"/>
      <c r="S44" s="1279" t="str">
        <f>$I44</f>
        <v>...1</v>
      </c>
      <c r="T44" s="223" t="s">
        <v>573</v>
      </c>
      <c r="U44" s="238"/>
      <c r="V44" s="5537"/>
      <c r="W44" s="5538"/>
      <c r="X44" s="5538"/>
      <c r="Y44" s="5538"/>
      <c r="Z44" s="5538"/>
      <c r="AA44" s="5538"/>
      <c r="AB44" s="5539"/>
      <c r="AC44" s="5540"/>
      <c r="AD44" s="5541"/>
      <c r="AE44" s="5541"/>
      <c r="AF44" s="5541"/>
      <c r="AG44" s="5541"/>
      <c r="AH44" s="5541"/>
      <c r="AI44" s="5541"/>
      <c r="AJ44" s="5542"/>
      <c r="AK44" s="1179" t="s">
        <v>574</v>
      </c>
      <c r="AM44" s="438"/>
      <c r="AN44" s="438" t="str">
        <f t="shared" si="1"/>
        <v>Наименование признака дифференциации</v>
      </c>
      <c r="AO44" s="438"/>
      <c r="AP44" s="438"/>
      <c r="AQ44" s="1076">
        <v>23</v>
      </c>
    </row>
    <row r="45" spans="1:43" ht="24" customHeight="1">
      <c r="A45" s="1284" t="s">
        <v>255</v>
      </c>
      <c r="B45" s="1284" t="s">
        <v>256</v>
      </c>
      <c r="C45" s="1284" t="s">
        <v>257</v>
      </c>
      <c r="D45" s="1284" t="s">
        <v>585</v>
      </c>
      <c r="E45" s="5470"/>
      <c r="F45" s="5470"/>
      <c r="G45" s="5470"/>
      <c r="H45" s="5470"/>
      <c r="I45" s="5472"/>
      <c r="J45" s="5471" t="str">
        <f>I44&amp;".1"</f>
        <v>...1.1</v>
      </c>
      <c r="K45" s="1284"/>
      <c r="L45" s="1285" t="s">
        <v>499</v>
      </c>
      <c r="P45" s="5473"/>
      <c r="Q45" s="5473">
        <v>1</v>
      </c>
      <c r="R45" s="295"/>
      <c r="S45" s="1279" t="str">
        <f>$J45</f>
        <v>...1.1</v>
      </c>
      <c r="T45" s="224" t="s">
        <v>500</v>
      </c>
      <c r="U45" s="238"/>
      <c r="V45" s="5457"/>
      <c r="W45" s="5458"/>
      <c r="X45" s="5458"/>
      <c r="Y45" s="5458"/>
      <c r="Z45" s="5458"/>
      <c r="AA45" s="5458"/>
      <c r="AB45" s="5459"/>
      <c r="AC45" s="5457"/>
      <c r="AD45" s="5458"/>
      <c r="AE45" s="5458"/>
      <c r="AF45" s="5458"/>
      <c r="AG45" s="5458"/>
      <c r="AH45" s="5458"/>
      <c r="AI45" s="5458"/>
      <c r="AJ45" s="5459"/>
      <c r="AK45" s="1228" t="s">
        <v>575</v>
      </c>
      <c r="AM45" s="438"/>
      <c r="AN45" s="438" t="str">
        <f t="shared" si="1"/>
        <v>Группа потребителей</v>
      </c>
      <c r="AO45" s="438"/>
      <c r="AP45" s="438"/>
      <c r="AQ45" s="1076">
        <v>23</v>
      </c>
    </row>
    <row r="46" spans="1:43" ht="24" customHeight="1">
      <c r="A46" s="1284" t="s">
        <v>255</v>
      </c>
      <c r="B46" s="1284" t="s">
        <v>256</v>
      </c>
      <c r="C46" s="1284" t="s">
        <v>257</v>
      </c>
      <c r="D46" s="1284" t="s">
        <v>585</v>
      </c>
      <c r="E46" s="5470"/>
      <c r="F46" s="5470"/>
      <c r="G46" s="5470"/>
      <c r="H46" s="5470"/>
      <c r="I46" s="5472"/>
      <c r="J46" s="5472"/>
      <c r="K46" s="5471" t="str">
        <f>J45&amp;".1"</f>
        <v>...1.1.1</v>
      </c>
      <c r="L46" s="1285"/>
      <c r="P46" s="5473"/>
      <c r="Q46" s="5473"/>
      <c r="R46" s="295">
        <v>1</v>
      </c>
      <c r="S46" s="1279" t="str">
        <f>$K46</f>
        <v>...1.1.1</v>
      </c>
      <c r="T46" s="1358"/>
      <c r="U46" s="238"/>
      <c r="V46" s="1281"/>
      <c r="W46" s="1281"/>
      <c r="X46" s="1282"/>
      <c r="Y46" s="5467"/>
      <c r="Z46" s="5466" t="s">
        <v>66</v>
      </c>
      <c r="AA46" s="5467"/>
      <c r="AB46" s="5466" t="s">
        <v>66</v>
      </c>
      <c r="AC46" s="689"/>
      <c r="AD46" s="689"/>
      <c r="AE46" s="1178"/>
      <c r="AF46" s="5474"/>
      <c r="AG46" s="5338" t="s">
        <v>66</v>
      </c>
      <c r="AH46" s="5476"/>
      <c r="AI46" s="5338" t="s">
        <v>19</v>
      </c>
      <c r="AJ46" s="1359"/>
      <c r="AK4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76">
        <v>23</v>
      </c>
    </row>
    <row r="47" spans="1:43" ht="0" hidden="1" customHeight="1">
      <c r="A47" s="1284" t="s">
        <v>255</v>
      </c>
      <c r="B47" s="1284" t="s">
        <v>256</v>
      </c>
      <c r="C47" s="1284" t="s">
        <v>257</v>
      </c>
      <c r="D47" s="1284" t="s">
        <v>585</v>
      </c>
      <c r="E47" s="5470"/>
      <c r="F47" s="5470"/>
      <c r="G47" s="5470"/>
      <c r="H47" s="5470"/>
      <c r="I47" s="5472"/>
      <c r="J47" s="5472"/>
      <c r="K47" s="5471"/>
      <c r="L47" s="1285"/>
      <c r="P47" s="5473"/>
      <c r="Q47" s="5473"/>
      <c r="R47" s="295"/>
      <c r="S47" s="1280"/>
      <c r="T47" s="238"/>
      <c r="U47" s="238"/>
      <c r="V47" s="1281"/>
      <c r="W47" s="1281"/>
      <c r="X47" s="266" t="str">
        <f>Y46&amp;"-"&amp;AA46</f>
        <v>-</v>
      </c>
      <c r="Y47" s="5466"/>
      <c r="Z47" s="5466"/>
      <c r="AA47" s="5466"/>
      <c r="AB47" s="5466"/>
      <c r="AC47" s="263"/>
      <c r="AD47" s="263"/>
      <c r="AE47" s="266" t="str">
        <f>AF46&amp;"-"&amp;AH46</f>
        <v>-</v>
      </c>
      <c r="AF47" s="5475"/>
      <c r="AG47" s="5338"/>
      <c r="AH47" s="5477"/>
      <c r="AI47" s="5338"/>
      <c r="AJ47" s="1360"/>
      <c r="AK47" s="5543"/>
      <c r="AM47" s="438"/>
      <c r="AN47" s="438" t="str">
        <f t="shared" si="1"/>
        <v/>
      </c>
      <c r="AO47" s="438"/>
      <c r="AP47" s="438"/>
      <c r="AQ47" s="1076">
        <v>0</v>
      </c>
    </row>
    <row r="48" spans="1:43" ht="21" customHeight="1">
      <c r="A48" s="1284" t="s">
        <v>255</v>
      </c>
      <c r="B48" s="1284" t="s">
        <v>256</v>
      </c>
      <c r="C48" s="1284" t="s">
        <v>257</v>
      </c>
      <c r="D48" s="1284" t="s">
        <v>585</v>
      </c>
      <c r="E48" s="5470"/>
      <c r="F48" s="5470"/>
      <c r="G48" s="5470"/>
      <c r="H48" s="5470"/>
      <c r="I48" s="5472"/>
      <c r="J48" s="5471"/>
      <c r="K48" s="1284"/>
      <c r="L48" s="1285"/>
      <c r="P48" s="5473"/>
      <c r="Q48" s="5473"/>
      <c r="R48" s="294"/>
      <c r="S48" s="1199"/>
      <c r="T48" s="225" t="s">
        <v>576</v>
      </c>
      <c r="U48" s="305"/>
      <c r="V48" s="305"/>
      <c r="W48" s="305"/>
      <c r="X48" s="305"/>
      <c r="Y48" s="305"/>
      <c r="Z48" s="305"/>
      <c r="AA48" s="305"/>
      <c r="AB48" s="305"/>
      <c r="AC48" s="305"/>
      <c r="AD48" s="305"/>
      <c r="AE48" s="305"/>
      <c r="AF48" s="305"/>
      <c r="AG48" s="305"/>
      <c r="AH48" s="305"/>
      <c r="AI48" s="305"/>
      <c r="AJ48" s="305"/>
      <c r="AK48" s="1179" t="s">
        <v>577</v>
      </c>
      <c r="AM48" s="438"/>
      <c r="AN48" s="438" t="str">
        <f t="shared" si="1"/>
        <v>Добавить значение признака дифференциации</v>
      </c>
      <c r="AO48" s="438"/>
      <c r="AP48" s="438"/>
      <c r="AQ48" s="1076">
        <v>20</v>
      </c>
    </row>
    <row r="49" spans="1:43" ht="21.95" customHeight="1">
      <c r="A49" s="1284" t="s">
        <v>255</v>
      </c>
      <c r="B49" s="1284" t="s">
        <v>256</v>
      </c>
      <c r="C49" s="1284" t="s">
        <v>257</v>
      </c>
      <c r="D49" s="1284" t="s">
        <v>585</v>
      </c>
      <c r="E49" s="5470"/>
      <c r="F49" s="5470"/>
      <c r="G49" s="5470"/>
      <c r="H49" s="5470"/>
      <c r="I49" s="5471"/>
      <c r="J49" s="1284"/>
      <c r="K49" s="1284"/>
      <c r="L49" s="1285"/>
      <c r="P49" s="5473"/>
      <c r="Q49" s="1275"/>
      <c r="R49" s="294"/>
      <c r="S49" s="1199"/>
      <c r="T49" s="303" t="s">
        <v>505</v>
      </c>
      <c r="U49" s="305"/>
      <c r="V49" s="305"/>
      <c r="W49" s="305"/>
      <c r="X49" s="305"/>
      <c r="Y49" s="305"/>
      <c r="Z49" s="305"/>
      <c r="AA49" s="305"/>
      <c r="AB49" s="304"/>
      <c r="AC49" s="305"/>
      <c r="AD49" s="305"/>
      <c r="AE49" s="305"/>
      <c r="AF49" s="305"/>
      <c r="AG49" s="305"/>
      <c r="AH49" s="305"/>
      <c r="AI49" s="304"/>
      <c r="AJ49" s="305"/>
      <c r="AK49" s="1361"/>
      <c r="AM49" s="438"/>
      <c r="AN49" s="438" t="str">
        <f t="shared" si="1"/>
        <v>Добавить группу потребителей</v>
      </c>
      <c r="AO49" s="438"/>
      <c r="AP49" s="438"/>
      <c r="AQ49" s="1076">
        <v>21</v>
      </c>
    </row>
    <row r="50" spans="1:43" ht="21.95" customHeight="1">
      <c r="A50" s="1284" t="s">
        <v>255</v>
      </c>
      <c r="B50" s="1284" t="s">
        <v>256</v>
      </c>
      <c r="C50" s="1284" t="s">
        <v>257</v>
      </c>
      <c r="D50" s="1284" t="s">
        <v>585</v>
      </c>
      <c r="E50" s="5470"/>
      <c r="F50" s="5470"/>
      <c r="G50" s="5470"/>
      <c r="H50" s="5469"/>
      <c r="I50" s="1284"/>
      <c r="J50" s="1284"/>
      <c r="K50" s="1284"/>
      <c r="L50" s="1285"/>
      <c r="M50" s="1286"/>
      <c r="N50" s="1286"/>
      <c r="O50" s="475"/>
      <c r="P50" s="298"/>
      <c r="Q50" s="313"/>
      <c r="R50" s="293"/>
      <c r="S50" s="1199"/>
      <c r="T50" s="310" t="s">
        <v>578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76">
        <v>21</v>
      </c>
    </row>
    <row r="51" spans="1:43" s="4275" customFormat="1" ht="0" hidden="1" customHeight="1">
      <c r="A51" s="1264" t="s">
        <v>255</v>
      </c>
      <c r="B51" s="1264" t="s">
        <v>256</v>
      </c>
      <c r="C51" s="1235"/>
      <c r="D51" s="1235"/>
      <c r="E51" s="5470"/>
      <c r="F51" s="5469"/>
      <c r="G51" s="1235"/>
      <c r="H51" s="1235"/>
      <c r="I51" s="1235"/>
      <c r="J51" s="1235"/>
      <c r="K51" s="1235"/>
      <c r="L51" s="1347"/>
      <c r="M51" s="1242"/>
      <c r="N51" s="1242"/>
      <c r="P51" s="1237"/>
      <c r="Q51" s="1238"/>
      <c r="R51" s="1237"/>
      <c r="S51" s="1243"/>
      <c r="T51" s="1246" t="s">
        <v>312</v>
      </c>
      <c r="U51" s="1245"/>
      <c r="V51" s="1245"/>
      <c r="W51" s="1245"/>
      <c r="X51" s="1245"/>
      <c r="Y51" s="1245"/>
      <c r="Z51" s="1245"/>
      <c r="AA51" s="1245"/>
      <c r="AB51" s="1245"/>
      <c r="AC51" s="1245"/>
      <c r="AD51" s="1245"/>
      <c r="AE51" s="1245"/>
      <c r="AF51" s="1245"/>
      <c r="AG51" s="1245"/>
      <c r="AH51" s="1245"/>
      <c r="AI51" s="1245"/>
      <c r="AJ51" s="1245"/>
      <c r="AK51" s="1245"/>
      <c r="AM51" s="721"/>
      <c r="AN51" s="721" t="str">
        <f t="shared" si="1"/>
        <v>Добавить централизованную систему для дифференциации</v>
      </c>
      <c r="AO51" s="721"/>
      <c r="AP51" s="721"/>
      <c r="AQ51" s="456">
        <v>0</v>
      </c>
    </row>
    <row r="52" spans="1:43" s="4275" customFormat="1" ht="0" hidden="1" customHeight="1">
      <c r="A52" s="1264" t="s">
        <v>255</v>
      </c>
      <c r="B52" s="1264"/>
      <c r="C52" s="1264"/>
      <c r="D52" s="1264"/>
      <c r="E52" s="5469"/>
      <c r="F52" s="1264"/>
      <c r="G52" s="1264"/>
      <c r="H52" s="1264"/>
      <c r="I52" s="1264"/>
      <c r="J52" s="1264"/>
      <c r="K52" s="1264"/>
      <c r="L52" s="1267"/>
      <c r="M52" s="1242"/>
      <c r="N52" s="1242"/>
      <c r="O52" s="456"/>
      <c r="P52" s="318"/>
      <c r="Q52" s="1265"/>
      <c r="R52" s="318"/>
      <c r="S52" s="1243"/>
      <c r="T52" s="1246" t="s">
        <v>360</v>
      </c>
      <c r="U52" s="1245"/>
      <c r="V52" s="1245"/>
      <c r="W52" s="1245"/>
      <c r="X52" s="1245"/>
      <c r="Y52" s="1245"/>
      <c r="Z52" s="1245"/>
      <c r="AA52" s="1245"/>
      <c r="AB52" s="1245"/>
      <c r="AC52" s="1245"/>
      <c r="AD52" s="1245"/>
      <c r="AE52" s="1245"/>
      <c r="AF52" s="1245"/>
      <c r="AG52" s="1245"/>
      <c r="AH52" s="1245"/>
      <c r="AI52" s="1245"/>
      <c r="AJ52" s="1245"/>
      <c r="AK52" s="1245"/>
      <c r="AM52" s="438"/>
      <c r="AN52" s="438" t="str">
        <f t="shared" si="1"/>
        <v>Добавить территорию для дифференциации</v>
      </c>
      <c r="AO52" s="438"/>
      <c r="AP52" s="438"/>
      <c r="AQ52" s="449">
        <v>0</v>
      </c>
    </row>
    <row r="53" spans="1:43" s="4275" customFormat="1" ht="0" hidden="1" customHeight="1">
      <c r="A53" s="1235"/>
      <c r="B53" s="1235"/>
      <c r="C53" s="1235"/>
      <c r="D53" s="1235"/>
      <c r="E53" s="1264"/>
      <c r="F53" s="1235"/>
      <c r="G53" s="1235"/>
      <c r="H53" s="1235"/>
      <c r="I53" s="1235"/>
      <c r="J53" s="1235"/>
      <c r="K53" s="1235"/>
      <c r="L53" s="1347"/>
      <c r="M53" s="1242"/>
      <c r="N53" s="1242"/>
      <c r="P53" s="1237"/>
      <c r="Q53" s="1238"/>
      <c r="R53" s="1237"/>
      <c r="S53" s="1243"/>
      <c r="T53" s="1246" t="s">
        <v>361</v>
      </c>
      <c r="U53" s="1245"/>
      <c r="V53" s="1245"/>
      <c r="W53" s="1245"/>
      <c r="X53" s="1245"/>
      <c r="Y53" s="1245"/>
      <c r="Z53" s="1245"/>
      <c r="AA53" s="1245"/>
      <c r="AB53" s="1245"/>
      <c r="AC53" s="1245"/>
      <c r="AD53" s="1245"/>
      <c r="AE53" s="1245"/>
      <c r="AF53" s="1245"/>
      <c r="AG53" s="1245"/>
      <c r="AH53" s="1245"/>
      <c r="AI53" s="1245"/>
      <c r="AJ53" s="1245"/>
      <c r="AK53" s="1245"/>
      <c r="AM53" s="721"/>
      <c r="AN53" s="721" t="str">
        <f t="shared" si="1"/>
        <v>Добавить наименование тарифа</v>
      </c>
      <c r="AO53" s="721"/>
      <c r="AP53" s="721"/>
      <c r="AQ53" s="456">
        <v>0</v>
      </c>
    </row>
    <row r="54" spans="1:43" ht="11.45" customHeight="1">
      <c r="M54" s="1081"/>
      <c r="N54" s="1081"/>
      <c r="O54" s="475"/>
      <c r="P54" s="1076"/>
      <c r="Q54" s="1076"/>
      <c r="R54" s="1076"/>
      <c r="S54" s="1076"/>
      <c r="AL54" s="1076"/>
      <c r="AM54" s="1076"/>
      <c r="AN54" s="1076"/>
      <c r="AO54" s="1076"/>
      <c r="AP54" s="1076"/>
      <c r="AQ54" s="1076">
        <v>11</v>
      </c>
    </row>
    <row r="55" spans="1:43" ht="14.65" customHeight="1">
      <c r="O55" s="475"/>
      <c r="S55" s="1174"/>
      <c r="T55" s="5468"/>
      <c r="U55" s="5468"/>
      <c r="V55" s="5468"/>
      <c r="W55" s="5468"/>
      <c r="X55" s="5468"/>
      <c r="Y55" s="5468"/>
      <c r="Z55" s="5468"/>
      <c r="AA55" s="5468"/>
      <c r="AB55" s="5468"/>
      <c r="AC55" s="5468"/>
      <c r="AD55" s="5468"/>
      <c r="AE55" s="5468"/>
      <c r="AF55" s="5468"/>
      <c r="AG55" s="5468"/>
      <c r="AH55" s="5468"/>
      <c r="AI55" s="5468"/>
      <c r="AJ55" s="5468"/>
      <c r="AK55" s="5468"/>
      <c r="AQ55" s="1076">
        <v>14</v>
      </c>
    </row>
    <row r="56" spans="1:43" ht="14.65" customHeight="1">
      <c r="O56" s="475"/>
      <c r="AQ56" s="1076">
        <v>14</v>
      </c>
    </row>
    <row r="57" spans="1:43" ht="14.65" customHeight="1">
      <c r="O57" s="475"/>
      <c r="S57" s="1174"/>
      <c r="T57" s="5468"/>
      <c r="U57" s="5468"/>
      <c r="V57" s="5468"/>
      <c r="W57" s="5468"/>
      <c r="X57" s="5468"/>
      <c r="Y57" s="5468"/>
      <c r="Z57" s="5468"/>
      <c r="AA57" s="5468"/>
      <c r="AB57" s="5468"/>
      <c r="AC57" s="5468"/>
      <c r="AD57" s="5468"/>
      <c r="AE57" s="5468"/>
      <c r="AF57" s="5468"/>
      <c r="AG57" s="5468"/>
      <c r="AH57" s="5468"/>
      <c r="AI57" s="5468"/>
      <c r="AJ57" s="5468"/>
      <c r="AK57" s="5468"/>
      <c r="AQ57" s="1076">
        <v>14</v>
      </c>
    </row>
    <row r="58" spans="1:43" ht="22.5" hidden="1" customHeight="1">
      <c r="A58" s="1081" t="s">
        <v>82</v>
      </c>
      <c r="B58" s="1081">
        <v>0</v>
      </c>
      <c r="C58" s="1081">
        <v>0</v>
      </c>
      <c r="D58" s="1081">
        <v>0</v>
      </c>
      <c r="E58" s="1081">
        <v>0</v>
      </c>
      <c r="F58" s="1081">
        <v>0</v>
      </c>
      <c r="G58" s="1081">
        <v>0</v>
      </c>
      <c r="H58" s="1081">
        <v>0</v>
      </c>
      <c r="I58" s="1081">
        <v>0</v>
      </c>
      <c r="J58" s="1081">
        <v>0</v>
      </c>
      <c r="K58" s="1081">
        <v>0</v>
      </c>
      <c r="L58" s="1342">
        <v>0</v>
      </c>
      <c r="M58" s="1283">
        <v>0</v>
      </c>
      <c r="N58" s="1283">
        <v>0</v>
      </c>
      <c r="O58" s="1283">
        <v>0</v>
      </c>
      <c r="P58" s="1272">
        <v>3</v>
      </c>
      <c r="Q58" s="282">
        <v>3</v>
      </c>
      <c r="R58" s="282">
        <v>3</v>
      </c>
      <c r="S58" s="519">
        <v>12</v>
      </c>
      <c r="T58" s="1076">
        <v>35</v>
      </c>
      <c r="U58" s="1076">
        <v>0</v>
      </c>
      <c r="V58" s="1076">
        <v>0</v>
      </c>
      <c r="W58" s="1076">
        <v>0</v>
      </c>
      <c r="X58" s="1076">
        <v>0</v>
      </c>
      <c r="Y58" s="1076">
        <v>0</v>
      </c>
      <c r="Z58" s="1076">
        <v>0</v>
      </c>
      <c r="AA58" s="1076">
        <v>0</v>
      </c>
      <c r="AB58" s="1076">
        <v>0</v>
      </c>
      <c r="AC58" s="1076">
        <v>24</v>
      </c>
      <c r="AD58" s="1076">
        <v>24</v>
      </c>
      <c r="AE58" s="1076">
        <v>24</v>
      </c>
      <c r="AF58" s="1076">
        <v>11</v>
      </c>
      <c r="AG58" s="1076">
        <v>3</v>
      </c>
      <c r="AH58" s="1076">
        <v>11</v>
      </c>
      <c r="AI58" s="1076">
        <v>0</v>
      </c>
      <c r="AJ58" s="1076">
        <v>4</v>
      </c>
      <c r="AK58" s="1076">
        <v>115</v>
      </c>
      <c r="AL58" s="449">
        <v>10</v>
      </c>
      <c r="AM58" s="449">
        <v>10</v>
      </c>
      <c r="AN58" s="449">
        <v>10</v>
      </c>
      <c r="AO58" s="449">
        <v>10</v>
      </c>
      <c r="AP58" s="449">
        <v>10</v>
      </c>
      <c r="AQ58" s="1076">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4.140625" style="4274" hidden="1" customWidth="1"/>
    <col min="10" max="10" width="9.85546875" style="4274" hidden="1" customWidth="1"/>
    <col min="11" max="11" width="14.710937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5" style="4267" customWidth="1"/>
    <col min="21" max="21" width="0.140625" style="4267" customWidth="1"/>
    <col min="22" max="24" width="24.7109375" style="4267" hidden="1" customWidth="1"/>
    <col min="25" max="25" width="11.7109375" style="4267" hidden="1" customWidth="1"/>
    <col min="26" max="26" width="3.7109375" style="4267" hidden="1" customWidth="1"/>
    <col min="27" max="27" width="11.7109375" style="4267" hidden="1" customWidth="1"/>
    <col min="28" max="28" width="8.5703125" style="4267" hidden="1" customWidth="1"/>
    <col min="29" max="29" width="24.7109375" style="4267" customWidth="1"/>
    <col min="30" max="31" width="24" style="4267" customWidth="1"/>
    <col min="32" max="32" width="11" style="4267" customWidth="1"/>
    <col min="33" max="33" width="3.7109375" style="4267" customWidth="1"/>
    <col min="34" max="34" width="11" style="4267" customWidth="1"/>
    <col min="35" max="35" width="8.5703125" style="4267" hidden="1" customWidth="1"/>
    <col min="36" max="36" width="4" style="4267" customWidth="1"/>
    <col min="37" max="37" width="115" style="4267" customWidth="1"/>
    <col min="38" max="42" width="10" style="4275" customWidth="1"/>
    <col min="43" max="43" width="10.5703125" style="4267" hidden="1"/>
  </cols>
  <sheetData>
    <row r="1" spans="1:43" ht="22.5" hidden="1" customHeight="1">
      <c r="X1" s="265"/>
      <c r="Y1" s="265"/>
      <c r="AE1" s="265"/>
      <c r="AF1" s="265"/>
      <c r="AQ1" s="1076" t="s">
        <v>14</v>
      </c>
    </row>
    <row r="2" spans="1:43" ht="23.25" hidden="1" customHeight="1">
      <c r="A2" s="1284"/>
      <c r="B2" s="1284"/>
      <c r="C2" s="1284"/>
      <c r="D2" s="1284"/>
      <c r="E2" s="5469">
        <v>1</v>
      </c>
      <c r="F2" s="1284"/>
      <c r="G2" s="1284"/>
      <c r="H2" s="1284"/>
      <c r="I2" s="1284"/>
      <c r="J2" s="1284"/>
      <c r="K2" s="1284"/>
      <c r="L2" s="1285"/>
      <c r="M2" s="1286"/>
      <c r="N2" s="1286"/>
      <c r="O2" s="1286"/>
      <c r="P2" s="299"/>
      <c r="Q2" s="298"/>
      <c r="R2" s="293"/>
      <c r="S2" s="1378" t="e">
        <f>INDEX(PT_DIFFERENTIATION_NUM_NTAR,MATCH(A2,PT_DIFFERENTIATION_NTAR_ID,0))</f>
        <v>#N/A</v>
      </c>
      <c r="T2" s="236" t="s">
        <v>155</v>
      </c>
      <c r="U2" s="238"/>
      <c r="V2" s="5463"/>
      <c r="W2" s="5464"/>
      <c r="X2" s="5464"/>
      <c r="Y2" s="5464"/>
      <c r="Z2" s="5464"/>
      <c r="AA2" s="5464"/>
      <c r="AB2" s="5465"/>
      <c r="AC2" s="5463" t="e">
        <f>INDEX(PT_DIFFERENTIATION_NTAR,MATCH(A2,PT_DIFFERENTIATION_NTAR_ID,0))</f>
        <v>#N/A</v>
      </c>
      <c r="AD2" s="5464"/>
      <c r="AE2" s="5464"/>
      <c r="AF2" s="5464"/>
      <c r="AG2" s="5464"/>
      <c r="AH2" s="5464"/>
      <c r="AI2" s="5464"/>
      <c r="AJ2" s="5465"/>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76">
        <v>0</v>
      </c>
    </row>
    <row r="3" spans="1:43" ht="23.25" hidden="1" customHeight="1">
      <c r="A3" s="1284"/>
      <c r="B3" s="1284"/>
      <c r="C3" s="1284"/>
      <c r="D3" s="1284"/>
      <c r="E3" s="5470"/>
      <c r="F3" s="5469">
        <v>1</v>
      </c>
      <c r="G3" s="1284"/>
      <c r="H3" s="1284"/>
      <c r="I3" s="1284"/>
      <c r="J3" s="1284"/>
      <c r="K3" s="1284"/>
      <c r="L3" s="1285"/>
      <c r="M3" s="1286"/>
      <c r="N3" s="1286"/>
      <c r="O3" s="1286"/>
      <c r="P3" s="1374"/>
      <c r="Q3" s="290"/>
      <c r="R3" s="291"/>
      <c r="S3" s="1378" t="e">
        <f>INDEX(PT_DIFFERENTIATION_NUM_TER,MATCH(B3,PT_DIFFERENTIATION_TER_ID,0))</f>
        <v>#N/A</v>
      </c>
      <c r="T3" s="246" t="s">
        <v>490</v>
      </c>
      <c r="U3" s="238"/>
      <c r="V3" s="5463"/>
      <c r="W3" s="5464"/>
      <c r="X3" s="5464"/>
      <c r="Y3" s="5464"/>
      <c r="Z3" s="5464"/>
      <c r="AA3" s="5464"/>
      <c r="AB3" s="5465"/>
      <c r="AC3" s="5463" t="e">
        <f>INDEX(PT_DIFFERENTIATION_TER,MATCH(B3,PT_DIFFERENTIATION_TER_ID,0))</f>
        <v>#N/A</v>
      </c>
      <c r="AD3" s="5464"/>
      <c r="AE3" s="5464"/>
      <c r="AF3" s="5464"/>
      <c r="AG3" s="5464"/>
      <c r="AH3" s="5464"/>
      <c r="AI3" s="5464"/>
      <c r="AJ3" s="5465"/>
      <c r="AK3" s="1179" t="s">
        <v>491</v>
      </c>
      <c r="AM3" s="438"/>
      <c r="AN3" s="438" t="str">
        <f t="shared" si="0"/>
        <v>Территория действия тарифа</v>
      </c>
      <c r="AO3" s="438"/>
      <c r="AP3" s="438"/>
      <c r="AQ3" s="1076">
        <v>0</v>
      </c>
    </row>
    <row r="4" spans="1:43" ht="23.25" hidden="1" customHeight="1">
      <c r="A4" s="1284"/>
      <c r="B4" s="1284"/>
      <c r="C4" s="1284"/>
      <c r="D4" s="1284"/>
      <c r="E4" s="5470"/>
      <c r="F4" s="5470"/>
      <c r="G4" s="5469">
        <v>1</v>
      </c>
      <c r="H4" s="1284"/>
      <c r="I4" s="1284"/>
      <c r="J4" s="1284"/>
      <c r="K4" s="1284"/>
      <c r="L4" s="1285"/>
      <c r="M4" s="1286"/>
      <c r="N4" s="1286"/>
      <c r="O4" s="1286"/>
      <c r="P4" s="292"/>
      <c r="Q4" s="290"/>
      <c r="R4" s="291"/>
      <c r="S4" s="1378" t="e">
        <f>INDEX(PT_DIFFERENTIATION_NUM_CS,MATCH(C4,PT_DIFFERENTIATION_CS_ID,0))</f>
        <v>#N/A</v>
      </c>
      <c r="T4" s="247" t="s">
        <v>571</v>
      </c>
      <c r="U4" s="238"/>
      <c r="V4" s="5463"/>
      <c r="W4" s="5464"/>
      <c r="X4" s="5464"/>
      <c r="Y4" s="5464"/>
      <c r="Z4" s="5464"/>
      <c r="AA4" s="5464"/>
      <c r="AB4" s="5465"/>
      <c r="AC4" s="5463" t="e">
        <f>INDEX(PT_DIFFERENTIATION_CS,MATCH(C4,PT_DIFFERENTIATION_CS_ID,0))</f>
        <v>#N/A</v>
      </c>
      <c r="AD4" s="5464"/>
      <c r="AE4" s="5464"/>
      <c r="AF4" s="5464"/>
      <c r="AG4" s="5464"/>
      <c r="AH4" s="5464"/>
      <c r="AI4" s="5464"/>
      <c r="AJ4" s="5465"/>
      <c r="AK4" s="1179" t="s">
        <v>572</v>
      </c>
      <c r="AM4" s="438"/>
      <c r="AN4" s="438" t="str">
        <f t="shared" si="0"/>
        <v>Наименование централизованной системы холодного водоснабжения</v>
      </c>
      <c r="AO4" s="438"/>
      <c r="AP4" s="438"/>
      <c r="AQ4" s="1076">
        <v>0</v>
      </c>
    </row>
    <row r="5" spans="1:43" ht="23.25" hidden="1" customHeight="1">
      <c r="A5" s="1284"/>
      <c r="B5" s="1284"/>
      <c r="C5" s="1284"/>
      <c r="D5" s="1284"/>
      <c r="E5" s="5470"/>
      <c r="F5" s="5470"/>
      <c r="G5" s="5470"/>
      <c r="H5" s="5470"/>
      <c r="I5" s="5471" t="e">
        <f>S4&amp;".1"</f>
        <v>#N/A</v>
      </c>
      <c r="J5" s="1284"/>
      <c r="K5" s="1284"/>
      <c r="L5" s="1285"/>
      <c r="P5" s="5473">
        <v>1</v>
      </c>
      <c r="Q5" s="1371"/>
      <c r="R5" s="294"/>
      <c r="S5" s="1378" t="e">
        <f>$I5</f>
        <v>#N/A</v>
      </c>
      <c r="T5" s="223" t="s">
        <v>573</v>
      </c>
      <c r="U5" s="238"/>
      <c r="V5" s="5537"/>
      <c r="W5" s="5538"/>
      <c r="X5" s="5538"/>
      <c r="Y5" s="5538"/>
      <c r="Z5" s="5538"/>
      <c r="AA5" s="5538"/>
      <c r="AB5" s="5539"/>
      <c r="AC5" s="5540"/>
      <c r="AD5" s="5541"/>
      <c r="AE5" s="5541"/>
      <c r="AF5" s="5541"/>
      <c r="AG5" s="5541"/>
      <c r="AH5" s="5541"/>
      <c r="AI5" s="5541"/>
      <c r="AJ5" s="5542"/>
      <c r="AK5" s="1179" t="s">
        <v>574</v>
      </c>
      <c r="AM5" s="438"/>
      <c r="AN5" s="438" t="str">
        <f t="shared" si="0"/>
        <v>Наименование признака дифференциации</v>
      </c>
      <c r="AO5" s="438"/>
      <c r="AP5" s="438"/>
      <c r="AQ5" s="1076">
        <v>0</v>
      </c>
    </row>
    <row r="6" spans="1:43" ht="23.25" hidden="1" customHeight="1">
      <c r="A6" s="1284"/>
      <c r="B6" s="1284"/>
      <c r="C6" s="1284"/>
      <c r="D6" s="1284"/>
      <c r="E6" s="5470"/>
      <c r="F6" s="5470"/>
      <c r="G6" s="5470"/>
      <c r="H6" s="5470"/>
      <c r="I6" s="5472"/>
      <c r="J6" s="5471" t="e">
        <f>I5&amp;".1"</f>
        <v>#N/A</v>
      </c>
      <c r="K6" s="1284"/>
      <c r="L6" s="1285" t="s">
        <v>499</v>
      </c>
      <c r="P6" s="5473"/>
      <c r="Q6" s="5473">
        <v>1</v>
      </c>
      <c r="R6" s="295"/>
      <c r="S6" s="1378" t="e">
        <f>$J6</f>
        <v>#N/A</v>
      </c>
      <c r="T6" s="224" t="s">
        <v>500</v>
      </c>
      <c r="U6" s="238"/>
      <c r="V6" s="5457"/>
      <c r="W6" s="5458"/>
      <c r="X6" s="5458"/>
      <c r="Y6" s="5458"/>
      <c r="Z6" s="5458"/>
      <c r="AA6" s="5458"/>
      <c r="AB6" s="5459"/>
      <c r="AC6" s="5457"/>
      <c r="AD6" s="5458"/>
      <c r="AE6" s="5458"/>
      <c r="AF6" s="5458"/>
      <c r="AG6" s="5458"/>
      <c r="AH6" s="5458"/>
      <c r="AI6" s="5458"/>
      <c r="AJ6" s="5459"/>
      <c r="AK6" s="1228" t="s">
        <v>575</v>
      </c>
      <c r="AM6" s="438"/>
      <c r="AN6" s="438" t="str">
        <f t="shared" si="0"/>
        <v>Группа потребителей</v>
      </c>
      <c r="AO6" s="438"/>
      <c r="AP6" s="438"/>
      <c r="AQ6" s="1076">
        <v>0</v>
      </c>
    </row>
    <row r="7" spans="1:43" ht="23.25" hidden="1" customHeight="1">
      <c r="A7" s="1284"/>
      <c r="B7" s="1284"/>
      <c r="C7" s="1284"/>
      <c r="D7" s="1284"/>
      <c r="E7" s="5470"/>
      <c r="F7" s="5470"/>
      <c r="G7" s="5470"/>
      <c r="H7" s="5470"/>
      <c r="I7" s="5472"/>
      <c r="J7" s="5472"/>
      <c r="K7" s="5471" t="e">
        <f>J6&amp;".1"</f>
        <v>#N/A</v>
      </c>
      <c r="L7" s="1285"/>
      <c r="P7" s="5473"/>
      <c r="Q7" s="5473"/>
      <c r="R7" s="295">
        <v>1</v>
      </c>
      <c r="S7" s="1378" t="e">
        <f>$K7</f>
        <v>#N/A</v>
      </c>
      <c r="T7" s="1358"/>
      <c r="U7" s="238"/>
      <c r="V7" s="689"/>
      <c r="W7" s="689"/>
      <c r="X7" s="1178"/>
      <c r="Y7" s="5474"/>
      <c r="Z7" s="5338" t="s">
        <v>66</v>
      </c>
      <c r="AA7" s="5474"/>
      <c r="AB7" s="5338" t="s">
        <v>66</v>
      </c>
      <c r="AC7" s="689"/>
      <c r="AD7" s="689"/>
      <c r="AE7" s="1178"/>
      <c r="AF7" s="5474"/>
      <c r="AG7" s="5338" t="s">
        <v>66</v>
      </c>
      <c r="AH7" s="5476"/>
      <c r="AI7" s="5338" t="s">
        <v>66</v>
      </c>
      <c r="AJ7" s="1359"/>
      <c r="AK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76">
        <v>0</v>
      </c>
    </row>
    <row r="8" spans="1:43" ht="14.25" hidden="1" customHeight="1">
      <c r="A8" s="1284"/>
      <c r="B8" s="1284"/>
      <c r="C8" s="1284"/>
      <c r="D8" s="1284"/>
      <c r="E8" s="5470"/>
      <c r="F8" s="5470"/>
      <c r="G8" s="5470"/>
      <c r="H8" s="5470"/>
      <c r="I8" s="5472"/>
      <c r="J8" s="5472"/>
      <c r="K8" s="5471"/>
      <c r="L8" s="1285"/>
      <c r="P8" s="5473"/>
      <c r="Q8" s="5473"/>
      <c r="R8" s="295"/>
      <c r="S8" s="1377"/>
      <c r="T8" s="238"/>
      <c r="U8" s="238"/>
      <c r="V8" s="263"/>
      <c r="W8" s="263"/>
      <c r="X8" s="266" t="str">
        <f>Y7&amp;"-"&amp;AA7</f>
        <v>-</v>
      </c>
      <c r="Y8" s="5475"/>
      <c r="Z8" s="5338"/>
      <c r="AA8" s="5475"/>
      <c r="AB8" s="5338"/>
      <c r="AC8" s="263"/>
      <c r="AD8" s="263"/>
      <c r="AE8" s="266" t="str">
        <f>AF7&amp;"-"&amp;AH7</f>
        <v>-</v>
      </c>
      <c r="AF8" s="5475"/>
      <c r="AG8" s="5338"/>
      <c r="AH8" s="5477"/>
      <c r="AI8" s="5338"/>
      <c r="AJ8" s="1360"/>
      <c r="AK8" s="5543"/>
      <c r="AM8" s="438"/>
      <c r="AN8" s="438" t="str">
        <f t="shared" si="0"/>
        <v/>
      </c>
      <c r="AO8" s="438"/>
      <c r="AP8" s="438"/>
      <c r="AQ8" s="1076">
        <v>0</v>
      </c>
    </row>
    <row r="9" spans="1:43" ht="21" hidden="1" customHeight="1">
      <c r="A9" s="1284"/>
      <c r="B9" s="1284"/>
      <c r="C9" s="1284"/>
      <c r="D9" s="1284"/>
      <c r="E9" s="5470"/>
      <c r="F9" s="5470"/>
      <c r="G9" s="5470"/>
      <c r="H9" s="5470"/>
      <c r="I9" s="5472"/>
      <c r="J9" s="5471"/>
      <c r="K9" s="1284"/>
      <c r="L9" s="1285"/>
      <c r="P9" s="5473"/>
      <c r="Q9" s="5473"/>
      <c r="R9" s="294"/>
      <c r="S9" s="1199"/>
      <c r="T9" s="225" t="s">
        <v>576</v>
      </c>
      <c r="U9" s="305"/>
      <c r="V9" s="305"/>
      <c r="W9" s="305"/>
      <c r="X9" s="305"/>
      <c r="Y9" s="305"/>
      <c r="Z9" s="305"/>
      <c r="AA9" s="305"/>
      <c r="AB9" s="305"/>
      <c r="AC9" s="305"/>
      <c r="AD9" s="305"/>
      <c r="AE9" s="305"/>
      <c r="AF9" s="305"/>
      <c r="AG9" s="305"/>
      <c r="AH9" s="305"/>
      <c r="AI9" s="305"/>
      <c r="AJ9" s="305"/>
      <c r="AK9" s="1179" t="s">
        <v>577</v>
      </c>
      <c r="AM9" s="438"/>
      <c r="AN9" s="438" t="str">
        <f t="shared" si="0"/>
        <v>Добавить значение признака дифференциации</v>
      </c>
      <c r="AO9" s="438"/>
      <c r="AP9" s="438"/>
      <c r="AQ9" s="1076">
        <v>0</v>
      </c>
    </row>
    <row r="10" spans="1:43" ht="21" hidden="1" customHeight="1">
      <c r="A10" s="1284"/>
      <c r="B10" s="1284"/>
      <c r="C10" s="1284"/>
      <c r="D10" s="1284"/>
      <c r="E10" s="5470"/>
      <c r="F10" s="5470"/>
      <c r="G10" s="5470"/>
      <c r="H10" s="5470"/>
      <c r="I10" s="5471"/>
      <c r="J10" s="1284"/>
      <c r="K10" s="1284"/>
      <c r="L10" s="1285"/>
      <c r="P10" s="5473"/>
      <c r="Q10" s="1371"/>
      <c r="R10" s="294"/>
      <c r="S10" s="1199"/>
      <c r="T10" s="303" t="s">
        <v>505</v>
      </c>
      <c r="U10" s="305"/>
      <c r="V10" s="305"/>
      <c r="W10" s="305"/>
      <c r="X10" s="305"/>
      <c r="Y10" s="305"/>
      <c r="Z10" s="305"/>
      <c r="AA10" s="305"/>
      <c r="AB10" s="304"/>
      <c r="AC10" s="305"/>
      <c r="AD10" s="305"/>
      <c r="AE10" s="305"/>
      <c r="AF10" s="305"/>
      <c r="AG10" s="305"/>
      <c r="AH10" s="305"/>
      <c r="AI10" s="304"/>
      <c r="AJ10" s="305"/>
      <c r="AK10" s="1361"/>
      <c r="AM10" s="438"/>
      <c r="AN10" s="438" t="str">
        <f t="shared" si="0"/>
        <v>Добавить группу потребителей</v>
      </c>
      <c r="AO10" s="438"/>
      <c r="AP10" s="438"/>
      <c r="AQ10" s="1076">
        <v>0</v>
      </c>
    </row>
    <row r="11" spans="1:43" ht="21" hidden="1" customHeight="1">
      <c r="A11" s="1284"/>
      <c r="B11" s="1284"/>
      <c r="C11" s="1284"/>
      <c r="D11" s="1284"/>
      <c r="E11" s="5470"/>
      <c r="F11" s="5470"/>
      <c r="G11" s="5470"/>
      <c r="H11" s="5469"/>
      <c r="I11" s="1284"/>
      <c r="J11" s="1284"/>
      <c r="K11" s="1284"/>
      <c r="L11" s="1285"/>
      <c r="M11" s="1286"/>
      <c r="N11" s="1286"/>
      <c r="O11" s="475"/>
      <c r="P11" s="298"/>
      <c r="Q11" s="313"/>
      <c r="R11" s="293"/>
      <c r="S11" s="1199"/>
      <c r="T11" s="310" t="s">
        <v>578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76">
        <v>0</v>
      </c>
    </row>
    <row r="12" spans="1:43" s="4275" customFormat="1" ht="14.25" hidden="1" customHeight="1">
      <c r="A12" s="1264"/>
      <c r="B12" s="1264"/>
      <c r="C12" s="1235"/>
      <c r="D12" s="1235"/>
      <c r="E12" s="5470"/>
      <c r="F12" s="5469"/>
      <c r="G12" s="1235"/>
      <c r="H12" s="1235"/>
      <c r="I12" s="1235"/>
      <c r="J12" s="1235"/>
      <c r="K12" s="1235"/>
      <c r="L12" s="1379"/>
      <c r="M12" s="1242"/>
      <c r="N12" s="1242"/>
      <c r="P12" s="1237"/>
      <c r="Q12" s="1238"/>
      <c r="R12" s="1237"/>
      <c r="S12" s="1243"/>
      <c r="T12" s="1246" t="s">
        <v>312</v>
      </c>
      <c r="U12" s="1245"/>
      <c r="V12" s="1245"/>
      <c r="W12" s="1245"/>
      <c r="X12" s="1245"/>
      <c r="Y12" s="1245"/>
      <c r="Z12" s="1245"/>
      <c r="AA12" s="1245"/>
      <c r="AB12" s="1245"/>
      <c r="AC12" s="1245"/>
      <c r="AD12" s="1245"/>
      <c r="AE12" s="1245"/>
      <c r="AF12" s="1245"/>
      <c r="AG12" s="1245"/>
      <c r="AH12" s="1245"/>
      <c r="AI12" s="1245"/>
      <c r="AJ12" s="1245"/>
      <c r="AK12" s="1245"/>
      <c r="AM12" s="721"/>
      <c r="AN12" s="721" t="str">
        <f t="shared" si="0"/>
        <v>Добавить централизованную систему для дифференциации</v>
      </c>
      <c r="AO12" s="721"/>
      <c r="AP12" s="721"/>
      <c r="AQ12" s="456">
        <v>0</v>
      </c>
    </row>
    <row r="13" spans="1:43" s="4275" customFormat="1" ht="14.25" hidden="1" customHeight="1">
      <c r="A13" s="1264"/>
      <c r="B13" s="1264"/>
      <c r="C13" s="1264"/>
      <c r="D13" s="1264"/>
      <c r="E13" s="5469"/>
      <c r="F13" s="1264"/>
      <c r="G13" s="1264"/>
      <c r="H13" s="1264"/>
      <c r="I13" s="1264"/>
      <c r="J13" s="1264"/>
      <c r="K13" s="1264"/>
      <c r="L13" s="1267"/>
      <c r="M13" s="1242"/>
      <c r="N13" s="1242"/>
      <c r="O13" s="456"/>
      <c r="P13" s="318"/>
      <c r="Q13" s="1265"/>
      <c r="R13" s="318"/>
      <c r="S13" s="1243"/>
      <c r="T13" s="1246" t="s">
        <v>360</v>
      </c>
      <c r="U13" s="1245"/>
      <c r="V13" s="1245"/>
      <c r="W13" s="1245"/>
      <c r="X13" s="1245"/>
      <c r="Y13" s="1245"/>
      <c r="Z13" s="1245"/>
      <c r="AA13" s="1245"/>
      <c r="AB13" s="1245"/>
      <c r="AC13" s="1245"/>
      <c r="AD13" s="1245"/>
      <c r="AE13" s="1245"/>
      <c r="AF13" s="1245"/>
      <c r="AG13" s="1245"/>
      <c r="AH13" s="1245"/>
      <c r="AI13" s="1245"/>
      <c r="AJ13" s="1245"/>
      <c r="AK13" s="1245"/>
      <c r="AM13" s="438"/>
      <c r="AN13" s="438" t="str">
        <f t="shared" si="0"/>
        <v>Добавить территорию для дифференциации</v>
      </c>
      <c r="AO13" s="438"/>
      <c r="AP13" s="438"/>
      <c r="AQ13" s="449">
        <v>0</v>
      </c>
    </row>
    <row r="14" spans="1:43" ht="14.25" hidden="1" customHeight="1">
      <c r="AB14" s="265"/>
      <c r="AI14" s="265"/>
      <c r="AQ14" s="1076">
        <v>0</v>
      </c>
    </row>
    <row r="15" spans="1:43" ht="14.25" hidden="1" customHeight="1">
      <c r="AC15" s="1281"/>
      <c r="AD15" s="1281"/>
      <c r="AE15" s="1282"/>
      <c r="AF15" s="5467"/>
      <c r="AG15" s="5466" t="s">
        <v>66</v>
      </c>
      <c r="AH15" s="5467"/>
      <c r="AI15" s="5466" t="s">
        <v>66</v>
      </c>
      <c r="AQ15" s="1076">
        <v>0</v>
      </c>
    </row>
    <row r="16" spans="1:43" ht="14.25" hidden="1" customHeight="1">
      <c r="AC16" s="1281"/>
      <c r="AD16" s="1281"/>
      <c r="AE16" s="266" t="str">
        <f>AF15&amp;"-"&amp;AH15</f>
        <v>-</v>
      </c>
      <c r="AF16" s="5466"/>
      <c r="AG16" s="5466"/>
      <c r="AH16" s="5466"/>
      <c r="AI16" s="5466"/>
      <c r="AQ16" s="1076">
        <v>0</v>
      </c>
    </row>
    <row r="17" spans="1:43" ht="14.25" hidden="1" customHeight="1">
      <c r="AI17" s="265"/>
      <c r="AQ17" s="1076">
        <v>0</v>
      </c>
    </row>
    <row r="18" spans="1:43" s="4274" customFormat="1" ht="22.5" hidden="1" customHeight="1">
      <c r="L18" s="1368"/>
      <c r="M18" s="1283"/>
      <c r="N18" s="1283"/>
      <c r="O18" s="1288" t="s">
        <v>508</v>
      </c>
      <c r="P18" s="1283"/>
      <c r="Q18" s="1292"/>
      <c r="R18" s="1292"/>
      <c r="S18" s="667"/>
      <c r="Y18" s="1288"/>
      <c r="AA18" s="1288"/>
      <c r="AB18" s="1287"/>
      <c r="AF18" s="1288"/>
      <c r="AH18" s="1288"/>
      <c r="AI18" s="1287"/>
      <c r="AL18" s="449"/>
      <c r="AM18" s="449"/>
      <c r="AN18" s="449"/>
      <c r="AO18" s="449"/>
      <c r="AP18" s="449"/>
      <c r="AQ18" s="1081">
        <v>0</v>
      </c>
    </row>
    <row r="19" spans="1:43" s="4274" customFormat="1" ht="14.25" hidden="1" customHeight="1">
      <c r="L19" s="1368"/>
      <c r="M19" s="1283"/>
      <c r="N19" s="1283"/>
      <c r="O19" s="1283"/>
      <c r="P19" s="1283"/>
      <c r="Q19" s="1292"/>
      <c r="R19" s="1292"/>
      <c r="S19" s="667"/>
      <c r="AB19" s="1287"/>
      <c r="AI19" s="1287"/>
      <c r="AL19" s="449"/>
      <c r="AM19" s="449"/>
      <c r="AN19" s="449"/>
      <c r="AO19" s="449"/>
      <c r="AP19" s="449"/>
      <c r="AQ19" s="1081">
        <v>0</v>
      </c>
    </row>
    <row r="20" spans="1:43" s="4274" customFormat="1" ht="12" hidden="1" customHeight="1">
      <c r="L20" s="1368"/>
      <c r="M20" s="1283"/>
      <c r="N20" s="1283"/>
      <c r="O20" s="1285" t="s">
        <v>509</v>
      </c>
      <c r="P20" s="1283"/>
      <c r="Q20" s="1363"/>
      <c r="R20" s="1363"/>
      <c r="S20" s="667"/>
      <c r="T20" s="1081" t="s">
        <v>510</v>
      </c>
      <c r="Z20" s="124" t="s">
        <v>511</v>
      </c>
      <c r="AB20" s="124" t="s">
        <v>512</v>
      </c>
      <c r="AC20" s="1081" t="s">
        <v>510</v>
      </c>
      <c r="AG20" s="124" t="s">
        <v>513</v>
      </c>
      <c r="AI20" s="124" t="s">
        <v>512</v>
      </c>
      <c r="AQ20" s="1081">
        <v>0</v>
      </c>
    </row>
    <row r="21" spans="1:43" ht="14.25" hidden="1" customHeight="1">
      <c r="O21" s="1285"/>
      <c r="AQ21" s="1076">
        <v>0</v>
      </c>
    </row>
    <row r="22" spans="1:43" ht="14.25" hidden="1" customHeight="1">
      <c r="O22" s="1285"/>
      <c r="AQ22" s="1076">
        <v>0</v>
      </c>
    </row>
    <row r="23" spans="1:43" ht="14.65" customHeight="1">
      <c r="Q23" s="314"/>
      <c r="R23" s="314"/>
      <c r="S23" s="1196"/>
      <c r="T23" s="301"/>
      <c r="U23" s="301"/>
      <c r="V23" s="447"/>
      <c r="W23" s="447"/>
      <c r="X23" s="447"/>
      <c r="Y23" s="447"/>
      <c r="Z23" s="447"/>
      <c r="AA23" s="447"/>
      <c r="AB23" s="447"/>
      <c r="AC23" s="447"/>
      <c r="AD23" s="447"/>
      <c r="AE23" s="447"/>
      <c r="AF23" s="447"/>
      <c r="AG23" s="447"/>
      <c r="AH23" s="447"/>
      <c r="AI23" s="447"/>
      <c r="AQ23" s="1076">
        <v>14</v>
      </c>
    </row>
    <row r="24" spans="1:43" ht="14.65" customHeight="1">
      <c r="Q24" s="314"/>
      <c r="R24" s="314"/>
      <c r="S24" s="54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450"/>
      <c r="U24" s="5450"/>
      <c r="V24" s="5450"/>
      <c r="W24" s="5450"/>
      <c r="X24" s="5450"/>
      <c r="Y24" s="5450"/>
      <c r="Z24" s="5450"/>
      <c r="AA24" s="5450"/>
      <c r="AB24" s="5450"/>
      <c r="AC24" s="5450"/>
      <c r="AD24" s="5450"/>
      <c r="AE24" s="5450"/>
      <c r="AF24" s="5450"/>
      <c r="AG24" s="5450"/>
      <c r="AH24" s="5450"/>
      <c r="AI24" s="1164"/>
      <c r="AQ24" s="1076">
        <v>14</v>
      </c>
    </row>
    <row r="25" spans="1:43" ht="14.65" customHeight="1">
      <c r="Q25" s="314"/>
      <c r="R25" s="314"/>
      <c r="S25" s="5423" t="str">
        <f>IF(org=0,"Не определено",org)</f>
        <v>КГУП "Примтеплоэнерго"</v>
      </c>
      <c r="T25" s="5423"/>
      <c r="U25" s="5423"/>
      <c r="V25" s="5423"/>
      <c r="W25" s="5423"/>
      <c r="X25" s="5423"/>
      <c r="Y25" s="5423"/>
      <c r="Z25" s="5423"/>
      <c r="AA25" s="5423"/>
      <c r="AB25" s="5423"/>
      <c r="AC25" s="5423"/>
      <c r="AD25" s="5423"/>
      <c r="AE25" s="5423"/>
      <c r="AF25" s="5423"/>
      <c r="AG25" s="5423"/>
      <c r="AH25" s="5423"/>
      <c r="AI25" s="1164"/>
      <c r="AQ25" s="1076">
        <v>14</v>
      </c>
    </row>
    <row r="26" spans="1:43" ht="14.25" hidden="1" customHeight="1">
      <c r="Q26" s="314"/>
      <c r="R26" s="314"/>
      <c r="S26" s="1196"/>
      <c r="T26" s="301"/>
      <c r="U26" s="301"/>
      <c r="V26" s="260"/>
      <c r="W26" s="260"/>
      <c r="X26" s="260"/>
      <c r="Y26" s="260"/>
      <c r="Z26" s="260"/>
      <c r="AA26" s="260"/>
      <c r="AB26" s="260"/>
      <c r="AC26" s="260"/>
      <c r="AD26" s="260"/>
      <c r="AE26" s="260"/>
      <c r="AF26" s="260"/>
      <c r="AG26" s="260"/>
      <c r="AH26" s="260"/>
      <c r="AI26" s="260"/>
      <c r="AJ26" s="447"/>
      <c r="AQ26" s="1076">
        <v>0</v>
      </c>
    </row>
    <row r="27" spans="1:43" s="4284" customFormat="1" ht="25.5" hidden="1" customHeight="1">
      <c r="A27" s="1289"/>
      <c r="B27" s="1289"/>
      <c r="C27" s="1289"/>
      <c r="D27" s="1289"/>
      <c r="E27" s="1289"/>
      <c r="F27" s="1289"/>
      <c r="G27" s="1289"/>
      <c r="H27" s="1289"/>
      <c r="I27" s="1289"/>
      <c r="J27" s="1289"/>
      <c r="K27" s="1289"/>
      <c r="L27" s="1290"/>
      <c r="M27" s="1289"/>
      <c r="N27" s="1289"/>
      <c r="O27" s="1289"/>
      <c r="S27" s="5460" t="s">
        <v>42</v>
      </c>
      <c r="T27" s="5460"/>
      <c r="U27" s="1293"/>
      <c r="V27" s="5462" t="str">
        <f>IF(TITLE_NAME_OR_PR_CHANGE="",IF(TITLE_NAME_OR_PR="","",TITLE_NAME_OR_PR),TITLE_NAME_OR_PR_CHANGE)</f>
        <v/>
      </c>
      <c r="W27" s="5462"/>
      <c r="X27" s="5462"/>
      <c r="Y27" s="5462"/>
      <c r="Z27" s="5462"/>
      <c r="AA27" s="5462"/>
      <c r="AB27" s="264"/>
      <c r="AC27" s="5462" t="str">
        <f>IF(TITLE_NAME_OR_PR_CHANGE="",IF(TITLE_NAME_OR_PR="","",TITLE_NAME_OR_PR),TITLE_NAME_OR_PR_CHANGE)</f>
        <v/>
      </c>
      <c r="AD27" s="5462"/>
      <c r="AE27" s="5462"/>
      <c r="AF27" s="5462"/>
      <c r="AG27" s="5462"/>
      <c r="AH27" s="5462"/>
      <c r="AI27" s="264"/>
      <c r="AJ27" s="264"/>
      <c r="AK27" s="218"/>
      <c r="AL27" s="306"/>
      <c r="AM27" s="306"/>
      <c r="AN27" s="306"/>
      <c r="AO27" s="306"/>
      <c r="AP27" s="306"/>
      <c r="AQ27" s="356">
        <v>0</v>
      </c>
    </row>
    <row r="28" spans="1:43" s="4284" customFormat="1" ht="18.75" hidden="1" customHeight="1">
      <c r="A28" s="1289"/>
      <c r="B28" s="1289"/>
      <c r="C28" s="1289"/>
      <c r="D28" s="1289"/>
      <c r="E28" s="1289"/>
      <c r="F28" s="1289"/>
      <c r="G28" s="1289"/>
      <c r="H28" s="1289"/>
      <c r="I28" s="1289"/>
      <c r="J28" s="1289"/>
      <c r="K28" s="1289"/>
      <c r="L28" s="1290"/>
      <c r="M28" s="1289"/>
      <c r="N28" s="1289"/>
      <c r="O28" s="1289"/>
      <c r="S28" s="5460" t="s">
        <v>514</v>
      </c>
      <c r="T28" s="5460"/>
      <c r="U28" s="1293"/>
      <c r="V28" s="5461">
        <f>IF(TITLE_DATE_PR_CHANGE="",IF(TITLE_DATE_PR="","",TITLE_DATE_PR),TITLE_DATE_PR_CHANGE)</f>
        <v>45649.605891203704</v>
      </c>
      <c r="W28" s="5461"/>
      <c r="X28" s="5461"/>
      <c r="Y28" s="5461"/>
      <c r="Z28" s="5461"/>
      <c r="AA28" s="5461"/>
      <c r="AB28" s="264"/>
      <c r="AC28" s="5461">
        <f>IF(TITLE_DATE_PR_CHANGE="",IF(TITLE_DATE_PR="","",TITLE_DATE_PR),TITLE_DATE_PR_CHANGE)</f>
        <v>45649.605891203704</v>
      </c>
      <c r="AD28" s="5461"/>
      <c r="AE28" s="5461"/>
      <c r="AF28" s="5461"/>
      <c r="AG28" s="5461"/>
      <c r="AH28" s="5461"/>
      <c r="AI28" s="264"/>
      <c r="AJ28" s="264"/>
      <c r="AK28" s="218"/>
      <c r="AL28" s="306"/>
      <c r="AM28" s="306"/>
      <c r="AN28" s="306"/>
      <c r="AO28" s="306"/>
      <c r="AP28" s="306"/>
      <c r="AQ28" s="356">
        <v>0</v>
      </c>
    </row>
    <row r="29" spans="1:43" s="4284" customFormat="1" ht="18.75" hidden="1" customHeight="1">
      <c r="A29" s="1289"/>
      <c r="B29" s="1289"/>
      <c r="C29" s="1289"/>
      <c r="D29" s="1289"/>
      <c r="E29" s="1289"/>
      <c r="F29" s="1289"/>
      <c r="G29" s="1289"/>
      <c r="H29" s="1289"/>
      <c r="I29" s="1289"/>
      <c r="J29" s="1289"/>
      <c r="K29" s="1289"/>
      <c r="L29" s="1290"/>
      <c r="M29" s="1289"/>
      <c r="N29" s="1289"/>
      <c r="O29" s="1289"/>
      <c r="S29" s="5460" t="s">
        <v>515</v>
      </c>
      <c r="T29" s="5460"/>
      <c r="U29" s="1293"/>
      <c r="V29" s="5462" t="str">
        <f>IF(TITLE_NUMBER_PR_CHANGE="",IF(TITLE_NUMBER_PR="","",TITLE_NUMBER_PR),TITLE_NUMBER_PR_CHANGE)</f>
        <v>27-6414</v>
      </c>
      <c r="W29" s="5462"/>
      <c r="X29" s="5462"/>
      <c r="Y29" s="5462"/>
      <c r="Z29" s="5462"/>
      <c r="AA29" s="5462"/>
      <c r="AB29" s="264"/>
      <c r="AC29" s="5462" t="str">
        <f>IF(TITLE_NUMBER_PR_CHANGE="",IF(TITLE_NUMBER_PR="","",TITLE_NUMBER_PR),TITLE_NUMBER_PR_CHANGE)</f>
        <v>27-6414</v>
      </c>
      <c r="AD29" s="5462"/>
      <c r="AE29" s="5462"/>
      <c r="AF29" s="5462"/>
      <c r="AG29" s="5462"/>
      <c r="AH29" s="5462"/>
      <c r="AI29" s="264"/>
      <c r="AJ29" s="264"/>
      <c r="AK29" s="218"/>
      <c r="AL29" s="306"/>
      <c r="AM29" s="306"/>
      <c r="AN29" s="306"/>
      <c r="AO29" s="306"/>
      <c r="AP29" s="306"/>
      <c r="AQ29" s="356">
        <v>0</v>
      </c>
    </row>
    <row r="30" spans="1:43" s="4284" customFormat="1" ht="18.75" hidden="1" customHeight="1">
      <c r="A30" s="1289"/>
      <c r="B30" s="1289"/>
      <c r="C30" s="1289"/>
      <c r="D30" s="1289"/>
      <c r="E30" s="1289"/>
      <c r="F30" s="1289"/>
      <c r="G30" s="1289"/>
      <c r="H30" s="1289"/>
      <c r="I30" s="1289"/>
      <c r="J30" s="1289"/>
      <c r="K30" s="1289"/>
      <c r="L30" s="1290"/>
      <c r="M30" s="1289"/>
      <c r="N30" s="1289"/>
      <c r="O30" s="1289"/>
      <c r="S30" s="5460" t="s">
        <v>43</v>
      </c>
      <c r="T30" s="5460"/>
      <c r="U30" s="1293"/>
      <c r="V30" s="5462" t="str">
        <f>IF(TITLE_IST_PUB_CHANGE="",IF(TITLE_IST_PUB="","",TITLE_IST_PUB),TITLE_IST_PUB_CHANGE)</f>
        <v/>
      </c>
      <c r="W30" s="5462"/>
      <c r="X30" s="5462"/>
      <c r="Y30" s="5462"/>
      <c r="Z30" s="5462"/>
      <c r="AA30" s="5462"/>
      <c r="AB30" s="264"/>
      <c r="AC30" s="5462" t="str">
        <f>IF(TITLE_IST_PUB_CHANGE="",IF(TITLE_IST_PUB="","",TITLE_IST_PUB),TITLE_IST_PUB_CHANGE)</f>
        <v/>
      </c>
      <c r="AD30" s="5462"/>
      <c r="AE30" s="5462"/>
      <c r="AF30" s="5462"/>
      <c r="AG30" s="5462"/>
      <c r="AH30" s="5462"/>
      <c r="AI30" s="264"/>
      <c r="AJ30" s="264"/>
      <c r="AK30" s="218"/>
      <c r="AL30" s="306"/>
      <c r="AM30" s="306"/>
      <c r="AN30" s="306"/>
      <c r="AO30" s="306"/>
      <c r="AP30" s="306"/>
      <c r="AQ30" s="356">
        <v>0</v>
      </c>
    </row>
    <row r="31" spans="1:43" ht="14.25" customHeight="1">
      <c r="Q31" s="314"/>
      <c r="R31" s="314"/>
      <c r="S31" s="1196"/>
      <c r="T31" s="301"/>
      <c r="U31" s="301"/>
      <c r="V31" s="260"/>
      <c r="W31" s="260"/>
      <c r="X31" s="260"/>
      <c r="Y31" s="260"/>
      <c r="Z31" s="260"/>
      <c r="AA31" s="260"/>
      <c r="AB31" s="260"/>
      <c r="AC31" s="260"/>
      <c r="AD31" s="260"/>
      <c r="AE31" s="260"/>
      <c r="AF31" s="260"/>
      <c r="AG31" s="260"/>
      <c r="AH31" s="260"/>
      <c r="AI31" s="260"/>
      <c r="AJ31" s="447"/>
      <c r="AQ31" s="1076">
        <v>0</v>
      </c>
    </row>
    <row r="32" spans="1:43" s="4284" customFormat="1" ht="18.75" customHeight="1">
      <c r="A32" s="1289"/>
      <c r="B32" s="1289"/>
      <c r="C32" s="1289"/>
      <c r="D32" s="1289"/>
      <c r="E32" s="1289"/>
      <c r="F32" s="1289"/>
      <c r="G32" s="1289"/>
      <c r="H32" s="1289"/>
      <c r="I32" s="1289"/>
      <c r="J32" s="1289"/>
      <c r="K32" s="1289"/>
      <c r="L32" s="1290"/>
      <c r="M32" s="1289"/>
      <c r="N32" s="1289"/>
      <c r="O32" s="1289"/>
      <c r="S32" s="5460" t="s">
        <v>516</v>
      </c>
      <c r="T32" s="5460"/>
      <c r="U32" s="1293"/>
      <c r="V32" s="5461">
        <f>IF(TITLE_DATE_PR_CHANGE="",IF(TITLE_DATE_PR="","",TITLE_DATE_PR),TITLE_DATE_PR_CHANGE)</f>
        <v>45649.605891203704</v>
      </c>
      <c r="W32" s="5461"/>
      <c r="X32" s="5461"/>
      <c r="Y32" s="5461"/>
      <c r="Z32" s="5461"/>
      <c r="AA32" s="5461"/>
      <c r="AB32" s="264"/>
      <c r="AC32" s="5461">
        <f>IF(TITLE_DATE_PR_CHANGE="",IF(TITLE_DATE_PR="","",TITLE_DATE_PR),TITLE_DATE_PR_CHANGE)</f>
        <v>45649.605891203704</v>
      </c>
      <c r="AD32" s="5461"/>
      <c r="AE32" s="5461"/>
      <c r="AF32" s="5461"/>
      <c r="AG32" s="5461"/>
      <c r="AH32" s="5461"/>
      <c r="AI32" s="264"/>
      <c r="AJ32" s="264"/>
      <c r="AK32" s="218"/>
      <c r="AL32" s="306"/>
      <c r="AM32" s="306"/>
      <c r="AN32" s="306"/>
      <c r="AO32" s="306"/>
      <c r="AP32" s="306"/>
      <c r="AQ32" s="356">
        <v>0</v>
      </c>
    </row>
    <row r="33" spans="1:43" s="4284" customFormat="1" ht="18.75" customHeight="1">
      <c r="A33" s="1289"/>
      <c r="B33" s="1289"/>
      <c r="C33" s="1289"/>
      <c r="D33" s="1289"/>
      <c r="E33" s="1289"/>
      <c r="F33" s="1289"/>
      <c r="G33" s="1289"/>
      <c r="H33" s="1289"/>
      <c r="I33" s="1289"/>
      <c r="J33" s="1289"/>
      <c r="K33" s="1289"/>
      <c r="L33" s="1290"/>
      <c r="M33" s="1289"/>
      <c r="N33" s="1289"/>
      <c r="O33" s="1289"/>
      <c r="S33" s="5460" t="s">
        <v>517</v>
      </c>
      <c r="T33" s="5460"/>
      <c r="U33" s="1293"/>
      <c r="V33" s="5462" t="str">
        <f>IF(TITLE_NUMBER_PR_CHANGE="",IF(TITLE_NUMBER_PR="","",TITLE_NUMBER_PR),TITLE_NUMBER_PR_CHANGE)</f>
        <v>27-6414</v>
      </c>
      <c r="W33" s="5462"/>
      <c r="X33" s="5462"/>
      <c r="Y33" s="5462"/>
      <c r="Z33" s="5462"/>
      <c r="AA33" s="5462"/>
      <c r="AB33" s="264"/>
      <c r="AC33" s="5462" t="str">
        <f>IF(TITLE_NUMBER_PR_CHANGE="",IF(TITLE_NUMBER_PR="","",TITLE_NUMBER_PR),TITLE_NUMBER_PR_CHANGE)</f>
        <v>27-6414</v>
      </c>
      <c r="AD33" s="5462"/>
      <c r="AE33" s="5462"/>
      <c r="AF33" s="5462"/>
      <c r="AG33" s="5462"/>
      <c r="AH33" s="5462"/>
      <c r="AI33" s="264"/>
      <c r="AJ33" s="264"/>
      <c r="AK33" s="218"/>
      <c r="AL33" s="306"/>
      <c r="AM33" s="306"/>
      <c r="AN33" s="306"/>
      <c r="AO33" s="306"/>
      <c r="AP33" s="306"/>
      <c r="AQ33" s="356">
        <v>0</v>
      </c>
    </row>
    <row r="34" spans="1:43" s="4284" customFormat="1" ht="1.1499999999999999" customHeight="1">
      <c r="A34" s="1289"/>
      <c r="B34" s="1289"/>
      <c r="C34" s="1289"/>
      <c r="D34" s="1289"/>
      <c r="E34" s="1289"/>
      <c r="F34" s="1289"/>
      <c r="G34" s="1289"/>
      <c r="H34" s="1289"/>
      <c r="I34" s="1289"/>
      <c r="J34" s="1289"/>
      <c r="K34" s="1289"/>
      <c r="L34" s="1290"/>
      <c r="M34" s="1289"/>
      <c r="N34" s="1289"/>
      <c r="O34" s="1289"/>
      <c r="S34" s="261"/>
      <c r="T34" s="261"/>
      <c r="U34" s="1375"/>
      <c r="V34" s="264"/>
      <c r="W34" s="264"/>
      <c r="X34" s="264"/>
      <c r="Y34" s="264"/>
      <c r="Z34" s="264"/>
      <c r="AA34" s="264"/>
      <c r="AB34" s="216" t="s">
        <v>518</v>
      </c>
      <c r="AC34" s="264"/>
      <c r="AD34" s="264"/>
      <c r="AE34" s="264"/>
      <c r="AF34" s="264"/>
      <c r="AG34" s="264"/>
      <c r="AH34" s="264"/>
      <c r="AI34" s="216" t="s">
        <v>518</v>
      </c>
      <c r="AL34" s="306"/>
      <c r="AM34" s="306"/>
      <c r="AN34" s="306"/>
      <c r="AO34" s="306"/>
      <c r="AP34" s="306"/>
      <c r="AQ34" s="356">
        <v>1</v>
      </c>
    </row>
    <row r="35" spans="1:43" ht="14.65" customHeight="1">
      <c r="Q35" s="314"/>
      <c r="R35" s="314"/>
      <c r="S35" s="1196"/>
      <c r="T35" s="301"/>
      <c r="U35" s="1165"/>
      <c r="V35" s="5481"/>
      <c r="W35" s="5481"/>
      <c r="X35" s="5481"/>
      <c r="Y35" s="5481"/>
      <c r="Z35" s="5481"/>
      <c r="AA35" s="5481"/>
      <c r="AB35" s="5481"/>
      <c r="AC35" s="5481"/>
      <c r="AD35" s="5481"/>
      <c r="AE35" s="5481"/>
      <c r="AF35" s="5481"/>
      <c r="AG35" s="5481"/>
      <c r="AH35" s="5481"/>
      <c r="AI35" s="5481"/>
      <c r="AQ35" s="1076">
        <v>14</v>
      </c>
    </row>
    <row r="36" spans="1:43" ht="14.65" customHeight="1">
      <c r="Q36" s="314"/>
      <c r="R36" s="314"/>
      <c r="S36" s="5328" t="s">
        <v>393</v>
      </c>
      <c r="T36" s="5328"/>
      <c r="U36" s="5328"/>
      <c r="V36" s="5328"/>
      <c r="W36" s="5328"/>
      <c r="X36" s="5328"/>
      <c r="Y36" s="5328"/>
      <c r="Z36" s="5328"/>
      <c r="AA36" s="5328"/>
      <c r="AB36" s="5328"/>
      <c r="AC36" s="5328"/>
      <c r="AD36" s="5328"/>
      <c r="AE36" s="5328"/>
      <c r="AF36" s="5328"/>
      <c r="AG36" s="5328"/>
      <c r="AH36" s="5328"/>
      <c r="AI36" s="5328"/>
      <c r="AJ36" s="5328"/>
      <c r="AK36" s="5328" t="s">
        <v>394</v>
      </c>
      <c r="AQ36" s="1076">
        <v>14</v>
      </c>
    </row>
    <row r="37" spans="1:43" ht="14.65" customHeight="1">
      <c r="Q37" s="314"/>
      <c r="R37" s="314"/>
      <c r="S37" s="5482" t="s">
        <v>88</v>
      </c>
      <c r="T37" s="5431" t="s">
        <v>519</v>
      </c>
      <c r="U37" s="239"/>
      <c r="V37" s="5483" t="s">
        <v>520</v>
      </c>
      <c r="W37" s="5484"/>
      <c r="X37" s="5484"/>
      <c r="Y37" s="5484"/>
      <c r="Z37" s="5484"/>
      <c r="AA37" s="5485"/>
      <c r="AB37" s="5486" t="s">
        <v>521</v>
      </c>
      <c r="AC37" s="5483" t="s">
        <v>520</v>
      </c>
      <c r="AD37" s="5484"/>
      <c r="AE37" s="5484"/>
      <c r="AF37" s="5484"/>
      <c r="AG37" s="5484"/>
      <c r="AH37" s="5485"/>
      <c r="AI37" s="5486" t="s">
        <v>522</v>
      </c>
      <c r="AJ37" s="5489" t="s">
        <v>523</v>
      </c>
      <c r="AK37" s="5328"/>
      <c r="AQ37" s="1076">
        <v>14</v>
      </c>
    </row>
    <row r="38" spans="1:43" ht="35.65" customHeight="1">
      <c r="Q38" s="314"/>
      <c r="R38" s="314"/>
      <c r="S38" s="5482"/>
      <c r="T38" s="5431"/>
      <c r="U38" s="956"/>
      <c r="V38" s="1373" t="s">
        <v>579</v>
      </c>
      <c r="W38" s="5309" t="s">
        <v>526</v>
      </c>
      <c r="X38" s="5308"/>
      <c r="Y38" s="5309" t="s">
        <v>527</v>
      </c>
      <c r="Z38" s="5314"/>
      <c r="AA38" s="5308"/>
      <c r="AB38" s="5487"/>
      <c r="AC38" s="1373" t="s">
        <v>579</v>
      </c>
      <c r="AD38" s="5309" t="s">
        <v>526</v>
      </c>
      <c r="AE38" s="5308"/>
      <c r="AF38" s="5309" t="s">
        <v>527</v>
      </c>
      <c r="AG38" s="5314"/>
      <c r="AH38" s="5308"/>
      <c r="AI38" s="5487"/>
      <c r="AJ38" s="5490"/>
      <c r="AK38" s="5328"/>
      <c r="AQ38" s="1076">
        <v>34</v>
      </c>
    </row>
    <row r="39" spans="1:43" ht="35.65" customHeight="1">
      <c r="A39" s="1291"/>
      <c r="B39" s="1291" t="s">
        <v>167</v>
      </c>
      <c r="C39" s="1291" t="s">
        <v>168</v>
      </c>
      <c r="D39" s="1291" t="s">
        <v>169</v>
      </c>
      <c r="E39" s="1285" t="s">
        <v>528</v>
      </c>
      <c r="F39" s="1285" t="s">
        <v>529</v>
      </c>
      <c r="G39" s="1285" t="s">
        <v>530</v>
      </c>
      <c r="H39" s="1285"/>
      <c r="I39" s="1285" t="s">
        <v>580</v>
      </c>
      <c r="J39" s="1285" t="s">
        <v>533</v>
      </c>
      <c r="K39" s="1285" t="s">
        <v>581</v>
      </c>
      <c r="L39" s="1285" t="s">
        <v>509</v>
      </c>
      <c r="Q39" s="314"/>
      <c r="R39" s="314"/>
      <c r="S39" s="5482"/>
      <c r="T39" s="5431"/>
      <c r="U39" s="240"/>
      <c r="V39" s="1373" t="s">
        <v>582</v>
      </c>
      <c r="W39" s="1143" t="s">
        <v>583</v>
      </c>
      <c r="X39" s="1143" t="s">
        <v>584</v>
      </c>
      <c r="Y39" s="1376" t="s">
        <v>537</v>
      </c>
      <c r="Z39" s="5436" t="s">
        <v>538</v>
      </c>
      <c r="AA39" s="5449"/>
      <c r="AB39" s="5488"/>
      <c r="AC39" s="1373" t="s">
        <v>582</v>
      </c>
      <c r="AD39" s="1143" t="s">
        <v>583</v>
      </c>
      <c r="AE39" s="1143" t="s">
        <v>584</v>
      </c>
      <c r="AF39" s="1376" t="s">
        <v>537</v>
      </c>
      <c r="AG39" s="5436" t="s">
        <v>538</v>
      </c>
      <c r="AH39" s="5449"/>
      <c r="AI39" s="5488"/>
      <c r="AJ39" s="5491"/>
      <c r="AK39" s="5328"/>
      <c r="AQ39" s="1076">
        <v>34</v>
      </c>
    </row>
    <row r="40" spans="1:43" s="4299" customFormat="1" ht="0" hidden="1" customHeight="1">
      <c r="A40" s="1291"/>
      <c r="B40" s="1291"/>
      <c r="C40" s="1291"/>
      <c r="D40" s="1291"/>
      <c r="E40" s="1291"/>
      <c r="F40" s="1291"/>
      <c r="G40" s="1291"/>
      <c r="H40" s="1291"/>
      <c r="I40" s="1291"/>
      <c r="J40" s="1291"/>
      <c r="K40" s="1291"/>
      <c r="L40" s="1285"/>
      <c r="M40" s="1283"/>
      <c r="N40" s="1283"/>
      <c r="O40" s="1283"/>
      <c r="P40" s="1167"/>
      <c r="Q40" s="1168"/>
      <c r="R40" s="1175">
        <v>1</v>
      </c>
      <c r="S40" s="1198" t="s">
        <v>136</v>
      </c>
      <c r="T40" s="1176" t="s">
        <v>103</v>
      </c>
      <c r="U40" s="1166" t="str">
        <f ca="1">OFFSET(U40,0,-1)</f>
        <v>2</v>
      </c>
      <c r="V40" s="1372">
        <f ca="1">OFFSET(V40,0,-1)+1</f>
        <v>3</v>
      </c>
      <c r="W40" s="1372">
        <f ca="1">OFFSET(W40,0,-1)+1</f>
        <v>4</v>
      </c>
      <c r="X40" s="1372">
        <f ca="1">OFFSET(X40,0,-1)+1</f>
        <v>5</v>
      </c>
      <c r="Y40" s="1372">
        <f ca="1">OFFSET(Y40,0,-1)+1</f>
        <v>6</v>
      </c>
      <c r="Z40" s="5480">
        <f ca="1">OFFSET(Z40,0,-1)+1</f>
        <v>7</v>
      </c>
      <c r="AA40" s="5480"/>
      <c r="AB40" s="1372">
        <f ca="1">OFFSET(AB40,0,-2)+1</f>
        <v>8</v>
      </c>
      <c r="AC40" s="1372">
        <f ca="1">OFFSET(AC40,0,-1)+1</f>
        <v>9</v>
      </c>
      <c r="AD40" s="1372">
        <f ca="1">OFFSET(AD40,0,-1)+1</f>
        <v>10</v>
      </c>
      <c r="AE40" s="1372">
        <f ca="1">OFFSET(AE40,0,-1)+1</f>
        <v>11</v>
      </c>
      <c r="AF40" s="1372">
        <f ca="1">OFFSET(AF40,0,-1)+1</f>
        <v>12</v>
      </c>
      <c r="AG40" s="5480">
        <f ca="1">OFFSET(AG40,0,-1)+1</f>
        <v>13</v>
      </c>
      <c r="AH40" s="5480"/>
      <c r="AI40" s="1372">
        <f ca="1">OFFSET(AI40,0,-2)+1</f>
        <v>14</v>
      </c>
      <c r="AJ40" s="1166">
        <f ca="1">OFFSET(AJ40,0,-1)</f>
        <v>14</v>
      </c>
      <c r="AK40" s="1372">
        <f ca="1">OFFSET(AK40,0,-1)+1</f>
        <v>15</v>
      </c>
      <c r="AL40" s="449"/>
      <c r="AM40" s="449"/>
      <c r="AN40" s="449"/>
      <c r="AO40" s="449"/>
      <c r="AP40" s="449"/>
      <c r="AQ40" s="434">
        <v>0</v>
      </c>
    </row>
    <row r="41" spans="1:43" ht="24" customHeight="1">
      <c r="A41" s="1284" t="s">
        <v>260</v>
      </c>
      <c r="B41" s="1284"/>
      <c r="C41" s="1284"/>
      <c r="D41" s="1284"/>
      <c r="E41" s="5469">
        <v>1</v>
      </c>
      <c r="F41" s="1284"/>
      <c r="G41" s="1284"/>
      <c r="H41" s="1284"/>
      <c r="I41" s="1284"/>
      <c r="J41" s="1284"/>
      <c r="K41" s="1284"/>
      <c r="L41" s="1285"/>
      <c r="M41" s="1286"/>
      <c r="N41" s="1286"/>
      <c r="O41" s="1286"/>
      <c r="P41" s="299"/>
      <c r="Q41" s="298"/>
      <c r="R41" s="293"/>
      <c r="S41" s="1378">
        <f>INDEX(PT_DIFFERENTIATION_NUM_NTAR,MATCH(A41,PT_DIFFERENTIATION_NTAR_ID,0))</f>
        <v>0</v>
      </c>
      <c r="T41" s="236" t="s">
        <v>155</v>
      </c>
      <c r="U41" s="238"/>
      <c r="V41" s="5463"/>
      <c r="W41" s="5464"/>
      <c r="X41" s="5464"/>
      <c r="Y41" s="5464"/>
      <c r="Z41" s="5464"/>
      <c r="AA41" s="5464"/>
      <c r="AB41" s="5465"/>
      <c r="AC41" s="5463" t="str">
        <f>INDEX(PT_DIFFERENTIATION_NTAR,MATCH(A41,PT_DIFFERENTIATION_NTAR_ID,0))</f>
        <v/>
      </c>
      <c r="AD41" s="5464"/>
      <c r="AE41" s="5464"/>
      <c r="AF41" s="5464"/>
      <c r="AG41" s="5464"/>
      <c r="AH41" s="5464"/>
      <c r="AI41" s="5464"/>
      <c r="AJ41" s="5465"/>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76">
        <v>23</v>
      </c>
    </row>
    <row r="42" spans="1:43" ht="24" customHeight="1">
      <c r="A42" s="1284" t="s">
        <v>260</v>
      </c>
      <c r="B42" s="1284" t="s">
        <v>261</v>
      </c>
      <c r="C42" s="1284"/>
      <c r="D42" s="1284"/>
      <c r="E42" s="5470"/>
      <c r="F42" s="5469">
        <v>1</v>
      </c>
      <c r="G42" s="1284"/>
      <c r="H42" s="1284"/>
      <c r="I42" s="1284"/>
      <c r="J42" s="1284"/>
      <c r="K42" s="1284"/>
      <c r="L42" s="1285"/>
      <c r="M42" s="1286"/>
      <c r="N42" s="1286"/>
      <c r="O42" s="1286"/>
      <c r="P42" s="1374"/>
      <c r="Q42" s="290"/>
      <c r="R42" s="291"/>
      <c r="S42" s="1378" t="str">
        <f>INDEX(PT_DIFFERENTIATION_NUM_TER,MATCH(B42,PT_DIFFERENTIATION_TER_ID,0))</f>
        <v>.</v>
      </c>
      <c r="T42" s="246" t="s">
        <v>490</v>
      </c>
      <c r="U42" s="238"/>
      <c r="V42" s="5463"/>
      <c r="W42" s="5464"/>
      <c r="X42" s="5464"/>
      <c r="Y42" s="5464"/>
      <c r="Z42" s="5464"/>
      <c r="AA42" s="5464"/>
      <c r="AB42" s="5465"/>
      <c r="AC42" s="5463" t="str">
        <f>INDEX(PT_DIFFERENTIATION_TER,MATCH(B42,PT_DIFFERENTIATION_TER_ID,0))</f>
        <v/>
      </c>
      <c r="AD42" s="5464"/>
      <c r="AE42" s="5464"/>
      <c r="AF42" s="5464"/>
      <c r="AG42" s="5464"/>
      <c r="AH42" s="5464"/>
      <c r="AI42" s="5464"/>
      <c r="AJ42" s="5465"/>
      <c r="AK42" s="1179" t="s">
        <v>491</v>
      </c>
      <c r="AM42" s="438"/>
      <c r="AN42" s="438" t="str">
        <f t="shared" si="1"/>
        <v>Территория действия тарифа</v>
      </c>
      <c r="AO42" s="438"/>
      <c r="AP42" s="438"/>
      <c r="AQ42" s="1076">
        <v>23</v>
      </c>
    </row>
    <row r="43" spans="1:43" ht="24" customHeight="1">
      <c r="A43" s="1284" t="s">
        <v>260</v>
      </c>
      <c r="B43" s="1284" t="s">
        <v>261</v>
      </c>
      <c r="C43" s="1284" t="s">
        <v>262</v>
      </c>
      <c r="D43" s="1284"/>
      <c r="E43" s="5470"/>
      <c r="F43" s="5470"/>
      <c r="G43" s="5469">
        <v>1</v>
      </c>
      <c r="H43" s="1284"/>
      <c r="I43" s="1284"/>
      <c r="J43" s="1284"/>
      <c r="K43" s="1284"/>
      <c r="L43" s="1285"/>
      <c r="M43" s="1286"/>
      <c r="N43" s="1286"/>
      <c r="O43" s="1286"/>
      <c r="P43" s="292"/>
      <c r="Q43" s="290"/>
      <c r="R43" s="291"/>
      <c r="S43" s="1378" t="str">
        <f>INDEX(PT_DIFFERENTIATION_NUM_CS,MATCH(C43,PT_DIFFERENTIATION_CS_ID,0))</f>
        <v>..</v>
      </c>
      <c r="T43" s="247" t="s">
        <v>571</v>
      </c>
      <c r="U43" s="238"/>
      <c r="V43" s="5463"/>
      <c r="W43" s="5464"/>
      <c r="X43" s="5464"/>
      <c r="Y43" s="5464"/>
      <c r="Z43" s="5464"/>
      <c r="AA43" s="5464"/>
      <c r="AB43" s="5465"/>
      <c r="AC43" s="5463" t="str">
        <f>INDEX(PT_DIFFERENTIATION_CS,MATCH(C43,PT_DIFFERENTIATION_CS_ID,0))</f>
        <v/>
      </c>
      <c r="AD43" s="5464"/>
      <c r="AE43" s="5464"/>
      <c r="AF43" s="5464"/>
      <c r="AG43" s="5464"/>
      <c r="AH43" s="5464"/>
      <c r="AI43" s="5464"/>
      <c r="AJ43" s="5465"/>
      <c r="AK43" s="1179" t="s">
        <v>572</v>
      </c>
      <c r="AM43" s="438"/>
      <c r="AN43" s="438" t="str">
        <f t="shared" si="1"/>
        <v>Наименование централизованной системы холодного водоснабжения</v>
      </c>
      <c r="AO43" s="438"/>
      <c r="AP43" s="438"/>
      <c r="AQ43" s="1076">
        <v>23</v>
      </c>
    </row>
    <row r="44" spans="1:43" ht="24" customHeight="1">
      <c r="A44" s="1284" t="s">
        <v>260</v>
      </c>
      <c r="B44" s="1284" t="s">
        <v>261</v>
      </c>
      <c r="C44" s="1284" t="s">
        <v>262</v>
      </c>
      <c r="D44" s="1284" t="s">
        <v>586</v>
      </c>
      <c r="E44" s="5470"/>
      <c r="F44" s="5470"/>
      <c r="G44" s="5470"/>
      <c r="H44" s="5470"/>
      <c r="I44" s="5471" t="str">
        <f>S43&amp;".1"</f>
        <v>...1</v>
      </c>
      <c r="J44" s="1284"/>
      <c r="K44" s="1284"/>
      <c r="L44" s="1285"/>
      <c r="P44" s="5473">
        <v>1</v>
      </c>
      <c r="Q44" s="1371"/>
      <c r="R44" s="294"/>
      <c r="S44" s="1378" t="str">
        <f>$I44</f>
        <v>...1</v>
      </c>
      <c r="T44" s="223" t="s">
        <v>573</v>
      </c>
      <c r="U44" s="238"/>
      <c r="V44" s="5537"/>
      <c r="W44" s="5538"/>
      <c r="X44" s="5538"/>
      <c r="Y44" s="5538"/>
      <c r="Z44" s="5538"/>
      <c r="AA44" s="5538"/>
      <c r="AB44" s="5539"/>
      <c r="AC44" s="5540"/>
      <c r="AD44" s="5541"/>
      <c r="AE44" s="5541"/>
      <c r="AF44" s="5541"/>
      <c r="AG44" s="5541"/>
      <c r="AH44" s="5541"/>
      <c r="AI44" s="5541"/>
      <c r="AJ44" s="5542"/>
      <c r="AK44" s="1179" t="s">
        <v>574</v>
      </c>
      <c r="AM44" s="438"/>
      <c r="AN44" s="438" t="str">
        <f t="shared" si="1"/>
        <v>Наименование признака дифференциации</v>
      </c>
      <c r="AO44" s="438"/>
      <c r="AP44" s="438"/>
      <c r="AQ44" s="1076">
        <v>23</v>
      </c>
    </row>
    <row r="45" spans="1:43" ht="24" customHeight="1">
      <c r="A45" s="1284" t="s">
        <v>260</v>
      </c>
      <c r="B45" s="1284" t="s">
        <v>261</v>
      </c>
      <c r="C45" s="1284" t="s">
        <v>262</v>
      </c>
      <c r="D45" s="1284" t="s">
        <v>586</v>
      </c>
      <c r="E45" s="5470"/>
      <c r="F45" s="5470"/>
      <c r="G45" s="5470"/>
      <c r="H45" s="5470"/>
      <c r="I45" s="5472"/>
      <c r="J45" s="5471" t="str">
        <f>I44&amp;".1"</f>
        <v>...1.1</v>
      </c>
      <c r="K45" s="1284"/>
      <c r="L45" s="1285" t="s">
        <v>499</v>
      </c>
      <c r="P45" s="5473"/>
      <c r="Q45" s="5473">
        <v>1</v>
      </c>
      <c r="R45" s="295"/>
      <c r="S45" s="1378" t="str">
        <f>$J45</f>
        <v>...1.1</v>
      </c>
      <c r="T45" s="224" t="s">
        <v>500</v>
      </c>
      <c r="U45" s="238"/>
      <c r="V45" s="5457"/>
      <c r="W45" s="5458"/>
      <c r="X45" s="5458"/>
      <c r="Y45" s="5458"/>
      <c r="Z45" s="5458"/>
      <c r="AA45" s="5458"/>
      <c r="AB45" s="5459"/>
      <c r="AC45" s="5457"/>
      <c r="AD45" s="5458"/>
      <c r="AE45" s="5458"/>
      <c r="AF45" s="5458"/>
      <c r="AG45" s="5458"/>
      <c r="AH45" s="5458"/>
      <c r="AI45" s="5458"/>
      <c r="AJ45" s="5459"/>
      <c r="AK45" s="1228" t="s">
        <v>575</v>
      </c>
      <c r="AM45" s="438"/>
      <c r="AN45" s="438" t="str">
        <f t="shared" si="1"/>
        <v>Группа потребителей</v>
      </c>
      <c r="AO45" s="438"/>
      <c r="AP45" s="438"/>
      <c r="AQ45" s="1076">
        <v>23</v>
      </c>
    </row>
    <row r="46" spans="1:43" ht="24" customHeight="1">
      <c r="A46" s="1284" t="s">
        <v>260</v>
      </c>
      <c r="B46" s="1284" t="s">
        <v>261</v>
      </c>
      <c r="C46" s="1284" t="s">
        <v>262</v>
      </c>
      <c r="D46" s="1284" t="s">
        <v>586</v>
      </c>
      <c r="E46" s="5470"/>
      <c r="F46" s="5470"/>
      <c r="G46" s="5470"/>
      <c r="H46" s="5470"/>
      <c r="I46" s="5472"/>
      <c r="J46" s="5472"/>
      <c r="K46" s="5471" t="str">
        <f>J45&amp;".1"</f>
        <v>...1.1.1</v>
      </c>
      <c r="L46" s="1285"/>
      <c r="P46" s="5473"/>
      <c r="Q46" s="5473"/>
      <c r="R46" s="295">
        <v>1</v>
      </c>
      <c r="S46" s="1378" t="str">
        <f>$K46</f>
        <v>...1.1.1</v>
      </c>
      <c r="T46" s="1358"/>
      <c r="U46" s="238"/>
      <c r="V46" s="689"/>
      <c r="W46" s="689"/>
      <c r="X46" s="1178"/>
      <c r="Y46" s="5474"/>
      <c r="Z46" s="5338" t="s">
        <v>66</v>
      </c>
      <c r="AA46" s="5474"/>
      <c r="AB46" s="5338" t="s">
        <v>66</v>
      </c>
      <c r="AC46" s="689"/>
      <c r="AD46" s="689"/>
      <c r="AE46" s="1178"/>
      <c r="AF46" s="5474"/>
      <c r="AG46" s="5338" t="s">
        <v>66</v>
      </c>
      <c r="AH46" s="5476"/>
      <c r="AI46" s="5338" t="s">
        <v>66</v>
      </c>
      <c r="AJ46" s="1359"/>
      <c r="AK4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76">
        <v>23</v>
      </c>
    </row>
    <row r="47" spans="1:43" ht="0" hidden="1" customHeight="1">
      <c r="A47" s="1284" t="s">
        <v>260</v>
      </c>
      <c r="B47" s="1284" t="s">
        <v>261</v>
      </c>
      <c r="C47" s="1284" t="s">
        <v>262</v>
      </c>
      <c r="D47" s="1284" t="s">
        <v>586</v>
      </c>
      <c r="E47" s="5470"/>
      <c r="F47" s="5470"/>
      <c r="G47" s="5470"/>
      <c r="H47" s="5470"/>
      <c r="I47" s="5472"/>
      <c r="J47" s="5472"/>
      <c r="K47" s="5471"/>
      <c r="L47" s="1285"/>
      <c r="P47" s="5473"/>
      <c r="Q47" s="5473"/>
      <c r="R47" s="295"/>
      <c r="S47" s="1377"/>
      <c r="T47" s="238"/>
      <c r="U47" s="238"/>
      <c r="V47" s="263"/>
      <c r="W47" s="263"/>
      <c r="X47" s="266" t="str">
        <f>Y46&amp;"-"&amp;AA46</f>
        <v>-</v>
      </c>
      <c r="Y47" s="5475"/>
      <c r="Z47" s="5338"/>
      <c r="AA47" s="5475"/>
      <c r="AB47" s="5338"/>
      <c r="AC47" s="263"/>
      <c r="AD47" s="263"/>
      <c r="AE47" s="266" t="str">
        <f>AF46&amp;"-"&amp;AH46</f>
        <v>-</v>
      </c>
      <c r="AF47" s="5475"/>
      <c r="AG47" s="5338"/>
      <c r="AH47" s="5477"/>
      <c r="AI47" s="5338"/>
      <c r="AJ47" s="1360"/>
      <c r="AK47" s="5543"/>
      <c r="AM47" s="438"/>
      <c r="AN47" s="438" t="str">
        <f t="shared" si="1"/>
        <v/>
      </c>
      <c r="AO47" s="438"/>
      <c r="AP47" s="438"/>
      <c r="AQ47" s="1076">
        <v>0</v>
      </c>
    </row>
    <row r="48" spans="1:43" ht="21" customHeight="1">
      <c r="A48" s="1284" t="s">
        <v>260</v>
      </c>
      <c r="B48" s="1284" t="s">
        <v>261</v>
      </c>
      <c r="C48" s="1284" t="s">
        <v>262</v>
      </c>
      <c r="D48" s="1284" t="s">
        <v>586</v>
      </c>
      <c r="E48" s="5470"/>
      <c r="F48" s="5470"/>
      <c r="G48" s="5470"/>
      <c r="H48" s="5470"/>
      <c r="I48" s="5472"/>
      <c r="J48" s="5471"/>
      <c r="K48" s="1284"/>
      <c r="L48" s="1285"/>
      <c r="P48" s="5473"/>
      <c r="Q48" s="5473"/>
      <c r="R48" s="294"/>
      <c r="S48" s="1199"/>
      <c r="T48" s="225" t="s">
        <v>576</v>
      </c>
      <c r="U48" s="305"/>
      <c r="V48" s="305"/>
      <c r="W48" s="305"/>
      <c r="X48" s="305"/>
      <c r="Y48" s="305"/>
      <c r="Z48" s="305"/>
      <c r="AA48" s="305"/>
      <c r="AB48" s="305"/>
      <c r="AC48" s="305"/>
      <c r="AD48" s="305"/>
      <c r="AE48" s="305"/>
      <c r="AF48" s="305"/>
      <c r="AG48" s="305"/>
      <c r="AH48" s="305"/>
      <c r="AI48" s="305"/>
      <c r="AJ48" s="305"/>
      <c r="AK48" s="1179" t="s">
        <v>577</v>
      </c>
      <c r="AM48" s="438"/>
      <c r="AN48" s="438" t="str">
        <f t="shared" si="1"/>
        <v>Добавить значение признака дифференциации</v>
      </c>
      <c r="AO48" s="438"/>
      <c r="AP48" s="438"/>
      <c r="AQ48" s="1076">
        <v>20</v>
      </c>
    </row>
    <row r="49" spans="1:43" ht="21.95" customHeight="1">
      <c r="A49" s="1284" t="s">
        <v>260</v>
      </c>
      <c r="B49" s="1284" t="s">
        <v>261</v>
      </c>
      <c r="C49" s="1284" t="s">
        <v>262</v>
      </c>
      <c r="D49" s="1284" t="s">
        <v>586</v>
      </c>
      <c r="E49" s="5470"/>
      <c r="F49" s="5470"/>
      <c r="G49" s="5470"/>
      <c r="H49" s="5470"/>
      <c r="I49" s="5471"/>
      <c r="J49" s="1284"/>
      <c r="K49" s="1284"/>
      <c r="L49" s="1285"/>
      <c r="P49" s="5473"/>
      <c r="Q49" s="1371"/>
      <c r="R49" s="294"/>
      <c r="S49" s="1199"/>
      <c r="T49" s="303" t="s">
        <v>505</v>
      </c>
      <c r="U49" s="305"/>
      <c r="V49" s="305"/>
      <c r="W49" s="305"/>
      <c r="X49" s="305"/>
      <c r="Y49" s="305"/>
      <c r="Z49" s="305"/>
      <c r="AA49" s="305"/>
      <c r="AB49" s="304"/>
      <c r="AC49" s="305"/>
      <c r="AD49" s="305"/>
      <c r="AE49" s="305"/>
      <c r="AF49" s="305"/>
      <c r="AG49" s="305"/>
      <c r="AH49" s="305"/>
      <c r="AI49" s="304"/>
      <c r="AJ49" s="305"/>
      <c r="AK49" s="1361"/>
      <c r="AM49" s="438"/>
      <c r="AN49" s="438" t="str">
        <f t="shared" si="1"/>
        <v>Добавить группу потребителей</v>
      </c>
      <c r="AO49" s="438"/>
      <c r="AP49" s="438"/>
      <c r="AQ49" s="1076">
        <v>21</v>
      </c>
    </row>
    <row r="50" spans="1:43" ht="21.95" customHeight="1">
      <c r="A50" s="1284" t="s">
        <v>260</v>
      </c>
      <c r="B50" s="1284" t="s">
        <v>261</v>
      </c>
      <c r="C50" s="1284" t="s">
        <v>262</v>
      </c>
      <c r="D50" s="1284" t="s">
        <v>586</v>
      </c>
      <c r="E50" s="5470"/>
      <c r="F50" s="5470"/>
      <c r="G50" s="5470"/>
      <c r="H50" s="5469"/>
      <c r="I50" s="1284"/>
      <c r="J50" s="1284"/>
      <c r="K50" s="1284"/>
      <c r="L50" s="1285"/>
      <c r="M50" s="1286"/>
      <c r="N50" s="1286"/>
      <c r="O50" s="475"/>
      <c r="P50" s="298"/>
      <c r="Q50" s="313"/>
      <c r="R50" s="293"/>
      <c r="S50" s="1199"/>
      <c r="T50" s="310" t="s">
        <v>578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76">
        <v>21</v>
      </c>
    </row>
    <row r="51" spans="1:43" s="4275" customFormat="1" ht="0" hidden="1" customHeight="1">
      <c r="A51" s="1264" t="s">
        <v>260</v>
      </c>
      <c r="B51" s="1264" t="s">
        <v>261</v>
      </c>
      <c r="C51" s="1235"/>
      <c r="D51" s="1235"/>
      <c r="E51" s="5470"/>
      <c r="F51" s="5469"/>
      <c r="G51" s="1235"/>
      <c r="H51" s="1235"/>
      <c r="I51" s="1235"/>
      <c r="J51" s="1235"/>
      <c r="K51" s="1235"/>
      <c r="L51" s="1379"/>
      <c r="M51" s="1242"/>
      <c r="N51" s="1242"/>
      <c r="P51" s="1237"/>
      <c r="Q51" s="1238"/>
      <c r="R51" s="1237"/>
      <c r="S51" s="1243"/>
      <c r="T51" s="1246" t="s">
        <v>312</v>
      </c>
      <c r="U51" s="1245"/>
      <c r="V51" s="1245"/>
      <c r="W51" s="1245"/>
      <c r="X51" s="1245"/>
      <c r="Y51" s="1245"/>
      <c r="Z51" s="1245"/>
      <c r="AA51" s="1245"/>
      <c r="AB51" s="1245"/>
      <c r="AC51" s="1245"/>
      <c r="AD51" s="1245"/>
      <c r="AE51" s="1245"/>
      <c r="AF51" s="1245"/>
      <c r="AG51" s="1245"/>
      <c r="AH51" s="1245"/>
      <c r="AI51" s="1245"/>
      <c r="AJ51" s="1245"/>
      <c r="AK51" s="1245"/>
      <c r="AM51" s="721"/>
      <c r="AN51" s="721" t="str">
        <f t="shared" si="1"/>
        <v>Добавить централизованную систему для дифференциации</v>
      </c>
      <c r="AO51" s="721"/>
      <c r="AP51" s="721"/>
      <c r="AQ51" s="456">
        <v>0</v>
      </c>
    </row>
    <row r="52" spans="1:43" s="4275" customFormat="1" ht="0" hidden="1" customHeight="1">
      <c r="A52" s="1264" t="s">
        <v>260</v>
      </c>
      <c r="B52" s="1264"/>
      <c r="C52" s="1264"/>
      <c r="D52" s="1264"/>
      <c r="E52" s="5469"/>
      <c r="F52" s="1264"/>
      <c r="G52" s="1264"/>
      <c r="H52" s="1264"/>
      <c r="I52" s="1264"/>
      <c r="J52" s="1264"/>
      <c r="K52" s="1264"/>
      <c r="L52" s="1267"/>
      <c r="M52" s="1242"/>
      <c r="N52" s="1242"/>
      <c r="O52" s="456"/>
      <c r="P52" s="318"/>
      <c r="Q52" s="1265"/>
      <c r="R52" s="318"/>
      <c r="S52" s="1243"/>
      <c r="T52" s="1246" t="s">
        <v>360</v>
      </c>
      <c r="U52" s="1245"/>
      <c r="V52" s="1245"/>
      <c r="W52" s="1245"/>
      <c r="X52" s="1245"/>
      <c r="Y52" s="1245"/>
      <c r="Z52" s="1245"/>
      <c r="AA52" s="1245"/>
      <c r="AB52" s="1245"/>
      <c r="AC52" s="1245"/>
      <c r="AD52" s="1245"/>
      <c r="AE52" s="1245"/>
      <c r="AF52" s="1245"/>
      <c r="AG52" s="1245"/>
      <c r="AH52" s="1245"/>
      <c r="AI52" s="1245"/>
      <c r="AJ52" s="1245"/>
      <c r="AK52" s="1245"/>
      <c r="AM52" s="438"/>
      <c r="AN52" s="438" t="str">
        <f t="shared" si="1"/>
        <v>Добавить территорию для дифференциации</v>
      </c>
      <c r="AO52" s="438"/>
      <c r="AP52" s="438"/>
      <c r="AQ52" s="449">
        <v>0</v>
      </c>
    </row>
    <row r="53" spans="1:43" s="4275" customFormat="1" ht="0" hidden="1" customHeight="1">
      <c r="A53" s="1235"/>
      <c r="B53" s="1235"/>
      <c r="C53" s="1235"/>
      <c r="D53" s="1235"/>
      <c r="E53" s="1264"/>
      <c r="F53" s="1235"/>
      <c r="G53" s="1235"/>
      <c r="H53" s="1235"/>
      <c r="I53" s="1235"/>
      <c r="J53" s="1235"/>
      <c r="K53" s="1235"/>
      <c r="L53" s="1379"/>
      <c r="M53" s="1242"/>
      <c r="N53" s="1242"/>
      <c r="P53" s="1237"/>
      <c r="Q53" s="1238"/>
      <c r="R53" s="1237"/>
      <c r="S53" s="1243"/>
      <c r="T53" s="1246" t="s">
        <v>361</v>
      </c>
      <c r="U53" s="1245"/>
      <c r="V53" s="1245"/>
      <c r="W53" s="1245"/>
      <c r="X53" s="1245"/>
      <c r="Y53" s="1245"/>
      <c r="Z53" s="1245"/>
      <c r="AA53" s="1245"/>
      <c r="AB53" s="1245"/>
      <c r="AC53" s="1245"/>
      <c r="AD53" s="1245"/>
      <c r="AE53" s="1245"/>
      <c r="AF53" s="1245"/>
      <c r="AG53" s="1245"/>
      <c r="AH53" s="1245"/>
      <c r="AI53" s="1245"/>
      <c r="AJ53" s="1245"/>
      <c r="AK53" s="1245"/>
      <c r="AM53" s="721"/>
      <c r="AN53" s="721" t="str">
        <f t="shared" si="1"/>
        <v>Добавить наименование тарифа</v>
      </c>
      <c r="AO53" s="721"/>
      <c r="AP53" s="721"/>
      <c r="AQ53" s="456">
        <v>0</v>
      </c>
    </row>
    <row r="54" spans="1:43" ht="11.45" customHeight="1">
      <c r="M54" s="1081"/>
      <c r="N54" s="1081"/>
      <c r="O54" s="475"/>
      <c r="P54" s="1076"/>
      <c r="Q54" s="1076"/>
      <c r="R54" s="1076"/>
      <c r="S54" s="1076"/>
      <c r="AL54" s="1076"/>
      <c r="AM54" s="1076"/>
      <c r="AN54" s="1076"/>
      <c r="AO54" s="1076"/>
      <c r="AP54" s="1076"/>
      <c r="AQ54" s="1076">
        <v>11</v>
      </c>
    </row>
    <row r="55" spans="1:43" ht="14.65" customHeight="1">
      <c r="O55" s="475"/>
      <c r="S55" s="1174"/>
      <c r="T55" s="5468"/>
      <c r="U55" s="5468"/>
      <c r="V55" s="5468"/>
      <c r="W55" s="5468"/>
      <c r="X55" s="5468"/>
      <c r="Y55" s="5468"/>
      <c r="Z55" s="5468"/>
      <c r="AA55" s="5468"/>
      <c r="AB55" s="5468"/>
      <c r="AC55" s="5468"/>
      <c r="AD55" s="5468"/>
      <c r="AE55" s="5468"/>
      <c r="AF55" s="5468"/>
      <c r="AG55" s="5468"/>
      <c r="AH55" s="5468"/>
      <c r="AI55" s="5468"/>
      <c r="AJ55" s="5468"/>
      <c r="AK55" s="5468"/>
      <c r="AQ55" s="1076">
        <v>14</v>
      </c>
    </row>
    <row r="56" spans="1:43" ht="14.65" customHeight="1">
      <c r="O56" s="475"/>
      <c r="AQ56" s="1076">
        <v>14</v>
      </c>
    </row>
    <row r="57" spans="1:43" ht="14.65" customHeight="1">
      <c r="O57" s="475"/>
      <c r="S57" s="1174"/>
      <c r="T57" s="5468"/>
      <c r="U57" s="5468"/>
      <c r="V57" s="5468"/>
      <c r="W57" s="5468"/>
      <c r="X57" s="5468"/>
      <c r="Y57" s="5468"/>
      <c r="Z57" s="5468"/>
      <c r="AA57" s="5468"/>
      <c r="AB57" s="5468"/>
      <c r="AC57" s="5468"/>
      <c r="AD57" s="5468"/>
      <c r="AE57" s="5468"/>
      <c r="AF57" s="5468"/>
      <c r="AG57" s="5468"/>
      <c r="AH57" s="5468"/>
      <c r="AI57" s="5468"/>
      <c r="AJ57" s="5468"/>
      <c r="AK57" s="5468"/>
      <c r="AQ57" s="1076">
        <v>14</v>
      </c>
    </row>
    <row r="58" spans="1:43" ht="22.5" hidden="1" customHeight="1">
      <c r="A58" s="1081" t="s">
        <v>82</v>
      </c>
      <c r="B58" s="1081">
        <v>0</v>
      </c>
      <c r="C58" s="1081">
        <v>0</v>
      </c>
      <c r="D58" s="1081">
        <v>0</v>
      </c>
      <c r="E58" s="1081">
        <v>0</v>
      </c>
      <c r="F58" s="1081">
        <v>0</v>
      </c>
      <c r="G58" s="1081">
        <v>0</v>
      </c>
      <c r="H58" s="1081">
        <v>0</v>
      </c>
      <c r="I58" s="1081">
        <v>0</v>
      </c>
      <c r="J58" s="1081">
        <v>0</v>
      </c>
      <c r="K58" s="1081">
        <v>0</v>
      </c>
      <c r="L58" s="1368">
        <v>0</v>
      </c>
      <c r="M58" s="1283">
        <v>0</v>
      </c>
      <c r="N58" s="1283">
        <v>0</v>
      </c>
      <c r="O58" s="1283">
        <v>0</v>
      </c>
      <c r="P58" s="1367">
        <v>3</v>
      </c>
      <c r="Q58" s="282">
        <v>3</v>
      </c>
      <c r="R58" s="282">
        <v>3</v>
      </c>
      <c r="S58" s="519">
        <v>12</v>
      </c>
      <c r="T58" s="1076">
        <v>35</v>
      </c>
      <c r="U58" s="1076">
        <v>0</v>
      </c>
      <c r="V58" s="1076">
        <v>0</v>
      </c>
      <c r="W58" s="1076">
        <v>0</v>
      </c>
      <c r="X58" s="1076">
        <v>0</v>
      </c>
      <c r="Y58" s="1076">
        <v>0</v>
      </c>
      <c r="Z58" s="1076">
        <v>0</v>
      </c>
      <c r="AA58" s="1076">
        <v>0</v>
      </c>
      <c r="AB58" s="1076">
        <v>0</v>
      </c>
      <c r="AC58" s="1076">
        <v>24</v>
      </c>
      <c r="AD58" s="1076">
        <v>24</v>
      </c>
      <c r="AE58" s="1076">
        <v>24</v>
      </c>
      <c r="AF58" s="1076">
        <v>11</v>
      </c>
      <c r="AG58" s="1076">
        <v>3</v>
      </c>
      <c r="AH58" s="1076">
        <v>11</v>
      </c>
      <c r="AI58" s="1076">
        <v>0</v>
      </c>
      <c r="AJ58" s="1076">
        <v>4</v>
      </c>
      <c r="AK58" s="1076">
        <v>115</v>
      </c>
      <c r="AL58" s="449">
        <v>10</v>
      </c>
      <c r="AM58" s="449">
        <v>10</v>
      </c>
      <c r="AN58" s="449">
        <v>10</v>
      </c>
      <c r="AO58" s="449">
        <v>10</v>
      </c>
      <c r="AP58" s="449">
        <v>10</v>
      </c>
      <c r="AQ58" s="1076">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4.140625" style="4274" hidden="1" customWidth="1"/>
    <col min="10" max="10" width="9.85546875" style="4274" hidden="1" customWidth="1"/>
    <col min="11" max="11" width="14.710937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5" style="4267" customWidth="1"/>
    <col min="21" max="21" width="0.140625" style="4267" customWidth="1"/>
    <col min="22" max="24" width="24.7109375" style="4267" hidden="1" customWidth="1"/>
    <col min="25" max="25" width="11.7109375" style="4267" hidden="1" customWidth="1"/>
    <col min="26" max="26" width="3.7109375" style="4267" hidden="1" customWidth="1"/>
    <col min="27" max="27" width="11.7109375" style="4267" hidden="1" customWidth="1"/>
    <col min="28" max="28" width="8.5703125" style="4267" hidden="1" customWidth="1"/>
    <col min="29" max="29" width="24.7109375" style="4267" customWidth="1"/>
    <col min="30" max="31" width="24" style="4267" customWidth="1"/>
    <col min="32" max="32" width="11" style="4267" customWidth="1"/>
    <col min="33" max="33" width="3.7109375" style="4267" customWidth="1"/>
    <col min="34" max="34" width="11" style="4267" customWidth="1"/>
    <col min="35" max="35" width="8.5703125" style="4267" hidden="1" customWidth="1"/>
    <col min="36" max="36" width="4" style="4267" customWidth="1"/>
    <col min="37" max="37" width="115" style="4267" customWidth="1"/>
    <col min="38" max="42" width="10" style="4275" customWidth="1"/>
    <col min="43" max="43" width="10.5703125" style="4267" hidden="1"/>
  </cols>
  <sheetData>
    <row r="1" spans="1:43" ht="22.5" hidden="1" customHeight="1">
      <c r="X1" s="265"/>
      <c r="Y1" s="265"/>
      <c r="AE1" s="265"/>
      <c r="AF1" s="265"/>
      <c r="AQ1" s="1076" t="s">
        <v>14</v>
      </c>
    </row>
    <row r="2" spans="1:43" ht="23.25" hidden="1" customHeight="1">
      <c r="A2" s="1284"/>
      <c r="B2" s="1284"/>
      <c r="C2" s="1284"/>
      <c r="D2" s="1284"/>
      <c r="E2" s="5469">
        <v>1</v>
      </c>
      <c r="F2" s="1284"/>
      <c r="G2" s="1284"/>
      <c r="H2" s="1284"/>
      <c r="I2" s="1284"/>
      <c r="J2" s="1284"/>
      <c r="K2" s="1284"/>
      <c r="L2" s="1285"/>
      <c r="M2" s="1286"/>
      <c r="N2" s="1286"/>
      <c r="O2" s="1286"/>
      <c r="P2" s="299"/>
      <c r="Q2" s="298"/>
      <c r="R2" s="293"/>
      <c r="S2" s="1378" t="e">
        <f>INDEX(PT_DIFFERENTIATION_NUM_NTAR,MATCH(A2,PT_DIFFERENTIATION_NTAR_ID,0))</f>
        <v>#N/A</v>
      </c>
      <c r="T2" s="236" t="s">
        <v>155</v>
      </c>
      <c r="U2" s="238"/>
      <c r="V2" s="5463"/>
      <c r="W2" s="5464"/>
      <c r="X2" s="5464"/>
      <c r="Y2" s="5464"/>
      <c r="Z2" s="5464"/>
      <c r="AA2" s="5464"/>
      <c r="AB2" s="5465"/>
      <c r="AC2" s="5463" t="e">
        <f>INDEX(PT_DIFFERENTIATION_NTAR,MATCH(A2,PT_DIFFERENTIATION_NTAR_ID,0))</f>
        <v>#N/A</v>
      </c>
      <c r="AD2" s="5464"/>
      <c r="AE2" s="5464"/>
      <c r="AF2" s="5464"/>
      <c r="AG2" s="5464"/>
      <c r="AH2" s="5464"/>
      <c r="AI2" s="5464"/>
      <c r="AJ2" s="5465"/>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76">
        <v>0</v>
      </c>
    </row>
    <row r="3" spans="1:43" ht="23.25" hidden="1" customHeight="1">
      <c r="A3" s="1284"/>
      <c r="B3" s="1284"/>
      <c r="C3" s="1284"/>
      <c r="D3" s="1284"/>
      <c r="E3" s="5470"/>
      <c r="F3" s="5469">
        <v>1</v>
      </c>
      <c r="G3" s="1284"/>
      <c r="H3" s="1284"/>
      <c r="I3" s="1284"/>
      <c r="J3" s="1284"/>
      <c r="K3" s="1284"/>
      <c r="L3" s="1285"/>
      <c r="M3" s="1286"/>
      <c r="N3" s="1286"/>
      <c r="O3" s="1286"/>
      <c r="P3" s="1374"/>
      <c r="Q3" s="290"/>
      <c r="R3" s="291"/>
      <c r="S3" s="1378" t="e">
        <f>INDEX(PT_DIFFERENTIATION_NUM_TER,MATCH(B3,PT_DIFFERENTIATION_TER_ID,0))</f>
        <v>#N/A</v>
      </c>
      <c r="T3" s="246" t="s">
        <v>490</v>
      </c>
      <c r="U3" s="238"/>
      <c r="V3" s="5463"/>
      <c r="W3" s="5464"/>
      <c r="X3" s="5464"/>
      <c r="Y3" s="5464"/>
      <c r="Z3" s="5464"/>
      <c r="AA3" s="5464"/>
      <c r="AB3" s="5465"/>
      <c r="AC3" s="5463" t="e">
        <f>INDEX(PT_DIFFERENTIATION_TER,MATCH(B3,PT_DIFFERENTIATION_TER_ID,0))</f>
        <v>#N/A</v>
      </c>
      <c r="AD3" s="5464"/>
      <c r="AE3" s="5464"/>
      <c r="AF3" s="5464"/>
      <c r="AG3" s="5464"/>
      <c r="AH3" s="5464"/>
      <c r="AI3" s="5464"/>
      <c r="AJ3" s="5465"/>
      <c r="AK3" s="1179" t="s">
        <v>491</v>
      </c>
      <c r="AM3" s="438"/>
      <c r="AN3" s="438" t="str">
        <f t="shared" si="0"/>
        <v>Территория действия тарифа</v>
      </c>
      <c r="AO3" s="438"/>
      <c r="AP3" s="438"/>
      <c r="AQ3" s="1076">
        <v>0</v>
      </c>
    </row>
    <row r="4" spans="1:43" ht="23.25" hidden="1" customHeight="1">
      <c r="A4" s="1284"/>
      <c r="B4" s="1284"/>
      <c r="C4" s="1284"/>
      <c r="D4" s="1284"/>
      <c r="E4" s="5470"/>
      <c r="F4" s="5470"/>
      <c r="G4" s="5469">
        <v>1</v>
      </c>
      <c r="H4" s="1284"/>
      <c r="I4" s="1284"/>
      <c r="J4" s="1284"/>
      <c r="K4" s="1284"/>
      <c r="L4" s="1285"/>
      <c r="M4" s="1286"/>
      <c r="N4" s="1286"/>
      <c r="O4" s="1286"/>
      <c r="P4" s="292"/>
      <c r="Q4" s="290"/>
      <c r="R4" s="291"/>
      <c r="S4" s="1378" t="e">
        <f>INDEX(PT_DIFFERENTIATION_NUM_CS,MATCH(C4,PT_DIFFERENTIATION_CS_ID,0))</f>
        <v>#N/A</v>
      </c>
      <c r="T4" s="247" t="s">
        <v>571</v>
      </c>
      <c r="U4" s="238"/>
      <c r="V4" s="5463"/>
      <c r="W4" s="5464"/>
      <c r="X4" s="5464"/>
      <c r="Y4" s="5464"/>
      <c r="Z4" s="5464"/>
      <c r="AA4" s="5464"/>
      <c r="AB4" s="5465"/>
      <c r="AC4" s="5463" t="e">
        <f>INDEX(PT_DIFFERENTIATION_CS,MATCH(C4,PT_DIFFERENTIATION_CS_ID,0))</f>
        <v>#N/A</v>
      </c>
      <c r="AD4" s="5464"/>
      <c r="AE4" s="5464"/>
      <c r="AF4" s="5464"/>
      <c r="AG4" s="5464"/>
      <c r="AH4" s="5464"/>
      <c r="AI4" s="5464"/>
      <c r="AJ4" s="5465"/>
      <c r="AK4" s="1179" t="s">
        <v>572</v>
      </c>
      <c r="AM4" s="438"/>
      <c r="AN4" s="438" t="str">
        <f t="shared" si="0"/>
        <v>Наименование централизованной системы холодного водоснабжения</v>
      </c>
      <c r="AO4" s="438"/>
      <c r="AP4" s="438"/>
      <c r="AQ4" s="1076">
        <v>0</v>
      </c>
    </row>
    <row r="5" spans="1:43" ht="23.25" hidden="1" customHeight="1">
      <c r="A5" s="1284"/>
      <c r="B5" s="1284"/>
      <c r="C5" s="1284"/>
      <c r="D5" s="1284"/>
      <c r="E5" s="5470"/>
      <c r="F5" s="5470"/>
      <c r="G5" s="5470"/>
      <c r="H5" s="5470"/>
      <c r="I5" s="5471" t="e">
        <f>S4&amp;".1"</f>
        <v>#N/A</v>
      </c>
      <c r="J5" s="1284"/>
      <c r="K5" s="1284"/>
      <c r="L5" s="1285"/>
      <c r="P5" s="5473">
        <v>1</v>
      </c>
      <c r="Q5" s="1371"/>
      <c r="R5" s="294"/>
      <c r="S5" s="1378" t="e">
        <f>$I5</f>
        <v>#N/A</v>
      </c>
      <c r="T5" s="223" t="s">
        <v>573</v>
      </c>
      <c r="U5" s="238"/>
      <c r="V5" s="5537"/>
      <c r="W5" s="5538"/>
      <c r="X5" s="5538"/>
      <c r="Y5" s="5538"/>
      <c r="Z5" s="5538"/>
      <c r="AA5" s="5538"/>
      <c r="AB5" s="5539"/>
      <c r="AC5" s="5540"/>
      <c r="AD5" s="5541"/>
      <c r="AE5" s="5541"/>
      <c r="AF5" s="5541"/>
      <c r="AG5" s="5541"/>
      <c r="AH5" s="5541"/>
      <c r="AI5" s="5541"/>
      <c r="AJ5" s="5542"/>
      <c r="AK5" s="1179" t="s">
        <v>574</v>
      </c>
      <c r="AM5" s="438"/>
      <c r="AN5" s="438" t="str">
        <f t="shared" si="0"/>
        <v>Наименование признака дифференциации</v>
      </c>
      <c r="AO5" s="438"/>
      <c r="AP5" s="438"/>
      <c r="AQ5" s="1076">
        <v>0</v>
      </c>
    </row>
    <row r="6" spans="1:43" ht="23.25" hidden="1" customHeight="1">
      <c r="A6" s="1284"/>
      <c r="B6" s="1284"/>
      <c r="C6" s="1284"/>
      <c r="D6" s="1284"/>
      <c r="E6" s="5470"/>
      <c r="F6" s="5470"/>
      <c r="G6" s="5470"/>
      <c r="H6" s="5470"/>
      <c r="I6" s="5472"/>
      <c r="J6" s="5471" t="e">
        <f>I5&amp;".1"</f>
        <v>#N/A</v>
      </c>
      <c r="K6" s="1284"/>
      <c r="L6" s="1285" t="s">
        <v>499</v>
      </c>
      <c r="P6" s="5473"/>
      <c r="Q6" s="5473">
        <v>1</v>
      </c>
      <c r="R6" s="295"/>
      <c r="S6" s="1378" t="e">
        <f>$J6</f>
        <v>#N/A</v>
      </c>
      <c r="T6" s="224" t="s">
        <v>500</v>
      </c>
      <c r="U6" s="238"/>
      <c r="V6" s="5457"/>
      <c r="W6" s="5458"/>
      <c r="X6" s="5458"/>
      <c r="Y6" s="5458"/>
      <c r="Z6" s="5458"/>
      <c r="AA6" s="5458"/>
      <c r="AB6" s="5459"/>
      <c r="AC6" s="5457"/>
      <c r="AD6" s="5458"/>
      <c r="AE6" s="5458"/>
      <c r="AF6" s="5458"/>
      <c r="AG6" s="5458"/>
      <c r="AH6" s="5458"/>
      <c r="AI6" s="5458"/>
      <c r="AJ6" s="5459"/>
      <c r="AK6" s="1228" t="s">
        <v>575</v>
      </c>
      <c r="AM6" s="438"/>
      <c r="AN6" s="438" t="str">
        <f t="shared" si="0"/>
        <v>Группа потребителей</v>
      </c>
      <c r="AO6" s="438"/>
      <c r="AP6" s="438"/>
      <c r="AQ6" s="1076">
        <v>0</v>
      </c>
    </row>
    <row r="7" spans="1:43" ht="23.25" hidden="1" customHeight="1">
      <c r="A7" s="1284"/>
      <c r="B7" s="1284"/>
      <c r="C7" s="1284"/>
      <c r="D7" s="1284"/>
      <c r="E7" s="5470"/>
      <c r="F7" s="5470"/>
      <c r="G7" s="5470"/>
      <c r="H7" s="5470"/>
      <c r="I7" s="5472"/>
      <c r="J7" s="5472"/>
      <c r="K7" s="5471" t="e">
        <f>J6&amp;".1"</f>
        <v>#N/A</v>
      </c>
      <c r="L7" s="1285"/>
      <c r="P7" s="5473"/>
      <c r="Q7" s="5473"/>
      <c r="R7" s="295">
        <v>1</v>
      </c>
      <c r="S7" s="1378" t="e">
        <f>$K7</f>
        <v>#N/A</v>
      </c>
      <c r="T7" s="1358"/>
      <c r="U7" s="238"/>
      <c r="V7" s="689"/>
      <c r="W7" s="689"/>
      <c r="X7" s="1178"/>
      <c r="Y7" s="5474"/>
      <c r="Z7" s="5338" t="s">
        <v>66</v>
      </c>
      <c r="AA7" s="5474"/>
      <c r="AB7" s="5338" t="s">
        <v>66</v>
      </c>
      <c r="AC7" s="689"/>
      <c r="AD7" s="689"/>
      <c r="AE7" s="1178"/>
      <c r="AF7" s="5474"/>
      <c r="AG7" s="5338" t="s">
        <v>66</v>
      </c>
      <c r="AH7" s="5476"/>
      <c r="AI7" s="5338" t="s">
        <v>66</v>
      </c>
      <c r="AJ7" s="1359"/>
      <c r="AK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76">
        <v>0</v>
      </c>
    </row>
    <row r="8" spans="1:43" ht="14.25" hidden="1" customHeight="1">
      <c r="A8" s="1284"/>
      <c r="B8" s="1284"/>
      <c r="C8" s="1284"/>
      <c r="D8" s="1284"/>
      <c r="E8" s="5470"/>
      <c r="F8" s="5470"/>
      <c r="G8" s="5470"/>
      <c r="H8" s="5470"/>
      <c r="I8" s="5472"/>
      <c r="J8" s="5472"/>
      <c r="K8" s="5471"/>
      <c r="L8" s="1285"/>
      <c r="P8" s="5473"/>
      <c r="Q8" s="5473"/>
      <c r="R8" s="295"/>
      <c r="S8" s="1377"/>
      <c r="T8" s="238"/>
      <c r="U8" s="238"/>
      <c r="V8" s="263"/>
      <c r="W8" s="263"/>
      <c r="X8" s="266" t="str">
        <f>Y7&amp;"-"&amp;AA7</f>
        <v>-</v>
      </c>
      <c r="Y8" s="5475"/>
      <c r="Z8" s="5338"/>
      <c r="AA8" s="5475"/>
      <c r="AB8" s="5338"/>
      <c r="AC8" s="263"/>
      <c r="AD8" s="263"/>
      <c r="AE8" s="266" t="str">
        <f>AF7&amp;"-"&amp;AH7</f>
        <v>-</v>
      </c>
      <c r="AF8" s="5475"/>
      <c r="AG8" s="5338"/>
      <c r="AH8" s="5477"/>
      <c r="AI8" s="5338"/>
      <c r="AJ8" s="1360"/>
      <c r="AK8" s="5543"/>
      <c r="AM8" s="438"/>
      <c r="AN8" s="438" t="str">
        <f t="shared" si="0"/>
        <v/>
      </c>
      <c r="AO8" s="438"/>
      <c r="AP8" s="438"/>
      <c r="AQ8" s="1076">
        <v>0</v>
      </c>
    </row>
    <row r="9" spans="1:43" ht="21" hidden="1" customHeight="1">
      <c r="A9" s="1284"/>
      <c r="B9" s="1284"/>
      <c r="C9" s="1284"/>
      <c r="D9" s="1284"/>
      <c r="E9" s="5470"/>
      <c r="F9" s="5470"/>
      <c r="G9" s="5470"/>
      <c r="H9" s="5470"/>
      <c r="I9" s="5472"/>
      <c r="J9" s="5471"/>
      <c r="K9" s="1284"/>
      <c r="L9" s="1285"/>
      <c r="P9" s="5473"/>
      <c r="Q9" s="5473"/>
      <c r="R9" s="294"/>
      <c r="S9" s="1199"/>
      <c r="T9" s="225" t="s">
        <v>576</v>
      </c>
      <c r="U9" s="305"/>
      <c r="V9" s="305"/>
      <c r="W9" s="305"/>
      <c r="X9" s="305"/>
      <c r="Y9" s="305"/>
      <c r="Z9" s="305"/>
      <c r="AA9" s="305"/>
      <c r="AB9" s="305"/>
      <c r="AC9" s="305"/>
      <c r="AD9" s="305"/>
      <c r="AE9" s="305"/>
      <c r="AF9" s="305"/>
      <c r="AG9" s="305"/>
      <c r="AH9" s="305"/>
      <c r="AI9" s="305"/>
      <c r="AJ9" s="305"/>
      <c r="AK9" s="1179" t="s">
        <v>577</v>
      </c>
      <c r="AM9" s="438"/>
      <c r="AN9" s="438" t="str">
        <f t="shared" si="0"/>
        <v>Добавить значение признака дифференциации</v>
      </c>
      <c r="AO9" s="438"/>
      <c r="AP9" s="438"/>
      <c r="AQ9" s="1076">
        <v>0</v>
      </c>
    </row>
    <row r="10" spans="1:43" ht="21" hidden="1" customHeight="1">
      <c r="A10" s="1284"/>
      <c r="B10" s="1284"/>
      <c r="C10" s="1284"/>
      <c r="D10" s="1284"/>
      <c r="E10" s="5470"/>
      <c r="F10" s="5470"/>
      <c r="G10" s="5470"/>
      <c r="H10" s="5470"/>
      <c r="I10" s="5471"/>
      <c r="J10" s="1284"/>
      <c r="K10" s="1284"/>
      <c r="L10" s="1285"/>
      <c r="P10" s="5473"/>
      <c r="Q10" s="1371"/>
      <c r="R10" s="294"/>
      <c r="S10" s="1199"/>
      <c r="T10" s="303" t="s">
        <v>505</v>
      </c>
      <c r="U10" s="305"/>
      <c r="V10" s="305"/>
      <c r="W10" s="305"/>
      <c r="X10" s="305"/>
      <c r="Y10" s="305"/>
      <c r="Z10" s="305"/>
      <c r="AA10" s="305"/>
      <c r="AB10" s="304"/>
      <c r="AC10" s="305"/>
      <c r="AD10" s="305"/>
      <c r="AE10" s="305"/>
      <c r="AF10" s="305"/>
      <c r="AG10" s="305"/>
      <c r="AH10" s="305"/>
      <c r="AI10" s="304"/>
      <c r="AJ10" s="305"/>
      <c r="AK10" s="1361"/>
      <c r="AM10" s="438"/>
      <c r="AN10" s="438" t="str">
        <f t="shared" si="0"/>
        <v>Добавить группу потребителей</v>
      </c>
      <c r="AO10" s="438"/>
      <c r="AP10" s="438"/>
      <c r="AQ10" s="1076">
        <v>0</v>
      </c>
    </row>
    <row r="11" spans="1:43" ht="21" hidden="1" customHeight="1">
      <c r="A11" s="1284"/>
      <c r="B11" s="1284"/>
      <c r="C11" s="1284"/>
      <c r="D11" s="1284"/>
      <c r="E11" s="5470"/>
      <c r="F11" s="5470"/>
      <c r="G11" s="5470"/>
      <c r="H11" s="5469"/>
      <c r="I11" s="1284"/>
      <c r="J11" s="1284"/>
      <c r="K11" s="1284"/>
      <c r="L11" s="1285"/>
      <c r="M11" s="1286"/>
      <c r="N11" s="1286"/>
      <c r="O11" s="475"/>
      <c r="P11" s="298"/>
      <c r="Q11" s="313"/>
      <c r="R11" s="293"/>
      <c r="S11" s="1199"/>
      <c r="T11" s="310" t="s">
        <v>578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76">
        <v>0</v>
      </c>
    </row>
    <row r="12" spans="1:43" s="4275" customFormat="1" ht="14.25" hidden="1" customHeight="1">
      <c r="A12" s="1264"/>
      <c r="B12" s="1264"/>
      <c r="C12" s="1235"/>
      <c r="D12" s="1235"/>
      <c r="E12" s="5470"/>
      <c r="F12" s="5469"/>
      <c r="G12" s="1235"/>
      <c r="H12" s="1235"/>
      <c r="I12" s="1235"/>
      <c r="J12" s="1235"/>
      <c r="K12" s="1235"/>
      <c r="L12" s="1379"/>
      <c r="M12" s="1242"/>
      <c r="N12" s="1242"/>
      <c r="P12" s="1237"/>
      <c r="Q12" s="1238"/>
      <c r="R12" s="1237"/>
      <c r="S12" s="1243"/>
      <c r="T12" s="1246" t="s">
        <v>312</v>
      </c>
      <c r="U12" s="1245"/>
      <c r="V12" s="1245"/>
      <c r="W12" s="1245"/>
      <c r="X12" s="1245"/>
      <c r="Y12" s="1245"/>
      <c r="Z12" s="1245"/>
      <c r="AA12" s="1245"/>
      <c r="AB12" s="1245"/>
      <c r="AC12" s="1245"/>
      <c r="AD12" s="1245"/>
      <c r="AE12" s="1245"/>
      <c r="AF12" s="1245"/>
      <c r="AG12" s="1245"/>
      <c r="AH12" s="1245"/>
      <c r="AI12" s="1245"/>
      <c r="AJ12" s="1245"/>
      <c r="AK12" s="1245"/>
      <c r="AM12" s="721"/>
      <c r="AN12" s="721" t="str">
        <f t="shared" si="0"/>
        <v>Добавить централизованную систему для дифференциации</v>
      </c>
      <c r="AO12" s="721"/>
      <c r="AP12" s="721"/>
      <c r="AQ12" s="456">
        <v>0</v>
      </c>
    </row>
    <row r="13" spans="1:43" s="4275" customFormat="1" ht="14.25" hidden="1" customHeight="1">
      <c r="A13" s="1264"/>
      <c r="B13" s="1264"/>
      <c r="C13" s="1264"/>
      <c r="D13" s="1264"/>
      <c r="E13" s="5469"/>
      <c r="F13" s="1264"/>
      <c r="G13" s="1264"/>
      <c r="H13" s="1264"/>
      <c r="I13" s="1264"/>
      <c r="J13" s="1264"/>
      <c r="K13" s="1264"/>
      <c r="L13" s="1267"/>
      <c r="M13" s="1242"/>
      <c r="N13" s="1242"/>
      <c r="O13" s="456"/>
      <c r="P13" s="318"/>
      <c r="Q13" s="1265"/>
      <c r="R13" s="318"/>
      <c r="S13" s="1243"/>
      <c r="T13" s="1246" t="s">
        <v>360</v>
      </c>
      <c r="U13" s="1245"/>
      <c r="V13" s="1245"/>
      <c r="W13" s="1245"/>
      <c r="X13" s="1245"/>
      <c r="Y13" s="1245"/>
      <c r="Z13" s="1245"/>
      <c r="AA13" s="1245"/>
      <c r="AB13" s="1245"/>
      <c r="AC13" s="1245"/>
      <c r="AD13" s="1245"/>
      <c r="AE13" s="1245"/>
      <c r="AF13" s="1245"/>
      <c r="AG13" s="1245"/>
      <c r="AH13" s="1245"/>
      <c r="AI13" s="1245"/>
      <c r="AJ13" s="1245"/>
      <c r="AK13" s="1245"/>
      <c r="AM13" s="438"/>
      <c r="AN13" s="438" t="str">
        <f t="shared" si="0"/>
        <v>Добавить территорию для дифференциации</v>
      </c>
      <c r="AO13" s="438"/>
      <c r="AP13" s="438"/>
      <c r="AQ13" s="449">
        <v>0</v>
      </c>
    </row>
    <row r="14" spans="1:43" ht="14.25" hidden="1" customHeight="1">
      <c r="AB14" s="265"/>
      <c r="AI14" s="265"/>
      <c r="AQ14" s="1076">
        <v>0</v>
      </c>
    </row>
    <row r="15" spans="1:43" ht="14.25" hidden="1" customHeight="1">
      <c r="AC15" s="1281"/>
      <c r="AD15" s="1281"/>
      <c r="AE15" s="1282"/>
      <c r="AF15" s="5467"/>
      <c r="AG15" s="5466" t="s">
        <v>66</v>
      </c>
      <c r="AH15" s="5467"/>
      <c r="AI15" s="5466" t="s">
        <v>66</v>
      </c>
      <c r="AQ15" s="1076">
        <v>0</v>
      </c>
    </row>
    <row r="16" spans="1:43" ht="14.25" hidden="1" customHeight="1">
      <c r="AC16" s="1281"/>
      <c r="AD16" s="1281"/>
      <c r="AE16" s="266" t="str">
        <f>AF15&amp;"-"&amp;AH15</f>
        <v>-</v>
      </c>
      <c r="AF16" s="5466"/>
      <c r="AG16" s="5466"/>
      <c r="AH16" s="5466"/>
      <c r="AI16" s="5466"/>
      <c r="AQ16" s="1076">
        <v>0</v>
      </c>
    </row>
    <row r="17" spans="1:43" ht="14.25" hidden="1" customHeight="1">
      <c r="AI17" s="265"/>
      <c r="AQ17" s="1076">
        <v>0</v>
      </c>
    </row>
    <row r="18" spans="1:43" s="4274" customFormat="1" ht="22.5" hidden="1" customHeight="1">
      <c r="L18" s="1368"/>
      <c r="M18" s="1283"/>
      <c r="N18" s="1283"/>
      <c r="O18" s="1288" t="s">
        <v>508</v>
      </c>
      <c r="P18" s="1283"/>
      <c r="Q18" s="1292"/>
      <c r="R18" s="1292"/>
      <c r="S18" s="667"/>
      <c r="Y18" s="1288"/>
      <c r="AA18" s="1288"/>
      <c r="AB18" s="1287"/>
      <c r="AF18" s="1288"/>
      <c r="AH18" s="1288"/>
      <c r="AI18" s="1287"/>
      <c r="AL18" s="449"/>
      <c r="AM18" s="449"/>
      <c r="AN18" s="449"/>
      <c r="AO18" s="449"/>
      <c r="AP18" s="449"/>
      <c r="AQ18" s="1081">
        <v>0</v>
      </c>
    </row>
    <row r="19" spans="1:43" s="4274" customFormat="1" ht="14.25" hidden="1" customHeight="1">
      <c r="L19" s="1368"/>
      <c r="M19" s="1283"/>
      <c r="N19" s="1283"/>
      <c r="O19" s="1283"/>
      <c r="P19" s="1283"/>
      <c r="Q19" s="1292"/>
      <c r="R19" s="1292"/>
      <c r="S19" s="667"/>
      <c r="AB19" s="1287"/>
      <c r="AI19" s="1287"/>
      <c r="AL19" s="449"/>
      <c r="AM19" s="449"/>
      <c r="AN19" s="449"/>
      <c r="AO19" s="449"/>
      <c r="AP19" s="449"/>
      <c r="AQ19" s="1081">
        <v>0</v>
      </c>
    </row>
    <row r="20" spans="1:43" s="4274" customFormat="1" ht="12" hidden="1" customHeight="1">
      <c r="L20" s="1368"/>
      <c r="M20" s="1283"/>
      <c r="N20" s="1283"/>
      <c r="O20" s="1285" t="s">
        <v>509</v>
      </c>
      <c r="P20" s="1283"/>
      <c r="Q20" s="1363"/>
      <c r="R20" s="1363"/>
      <c r="S20" s="667"/>
      <c r="T20" s="1081" t="s">
        <v>510</v>
      </c>
      <c r="Z20" s="124" t="s">
        <v>511</v>
      </c>
      <c r="AB20" s="124" t="s">
        <v>512</v>
      </c>
      <c r="AC20" s="1081" t="s">
        <v>510</v>
      </c>
      <c r="AG20" s="124" t="s">
        <v>513</v>
      </c>
      <c r="AI20" s="124" t="s">
        <v>512</v>
      </c>
      <c r="AQ20" s="1081">
        <v>0</v>
      </c>
    </row>
    <row r="21" spans="1:43" ht="14.25" hidden="1" customHeight="1">
      <c r="O21" s="1285"/>
      <c r="AQ21" s="1076">
        <v>0</v>
      </c>
    </row>
    <row r="22" spans="1:43" ht="14.25" hidden="1" customHeight="1">
      <c r="O22" s="1285"/>
      <c r="AQ22" s="1076">
        <v>0</v>
      </c>
    </row>
    <row r="23" spans="1:43" ht="14.65" customHeight="1">
      <c r="Q23" s="314"/>
      <c r="R23" s="314"/>
      <c r="S23" s="1196"/>
      <c r="T23" s="301"/>
      <c r="U23" s="301"/>
      <c r="V23" s="447"/>
      <c r="W23" s="447"/>
      <c r="X23" s="447"/>
      <c r="Y23" s="447"/>
      <c r="Z23" s="447"/>
      <c r="AA23" s="447"/>
      <c r="AB23" s="447"/>
      <c r="AC23" s="447"/>
      <c r="AD23" s="447"/>
      <c r="AE23" s="447"/>
      <c r="AF23" s="447"/>
      <c r="AG23" s="447"/>
      <c r="AH23" s="447"/>
      <c r="AI23" s="447"/>
      <c r="AQ23" s="1076">
        <v>14</v>
      </c>
    </row>
    <row r="24" spans="1:43" ht="14.65" customHeight="1">
      <c r="Q24" s="314"/>
      <c r="R24" s="314"/>
      <c r="S24" s="54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450"/>
      <c r="U24" s="5450"/>
      <c r="V24" s="5450"/>
      <c r="W24" s="5450"/>
      <c r="X24" s="5450"/>
      <c r="Y24" s="5450"/>
      <c r="Z24" s="5450"/>
      <c r="AA24" s="5450"/>
      <c r="AB24" s="5450"/>
      <c r="AC24" s="5450"/>
      <c r="AD24" s="5450"/>
      <c r="AE24" s="5450"/>
      <c r="AF24" s="5450"/>
      <c r="AG24" s="5450"/>
      <c r="AH24" s="5450"/>
      <c r="AI24" s="1164"/>
      <c r="AQ24" s="1076">
        <v>14</v>
      </c>
    </row>
    <row r="25" spans="1:43" ht="14.65" customHeight="1">
      <c r="Q25" s="314"/>
      <c r="R25" s="314"/>
      <c r="S25" s="5423" t="str">
        <f>IF(org=0,"Не определено",org)</f>
        <v>КГУП "Примтеплоэнерго"</v>
      </c>
      <c r="T25" s="5423"/>
      <c r="U25" s="5423"/>
      <c r="V25" s="5423"/>
      <c r="W25" s="5423"/>
      <c r="X25" s="5423"/>
      <c r="Y25" s="5423"/>
      <c r="Z25" s="5423"/>
      <c r="AA25" s="5423"/>
      <c r="AB25" s="5423"/>
      <c r="AC25" s="5423"/>
      <c r="AD25" s="5423"/>
      <c r="AE25" s="5423"/>
      <c r="AF25" s="5423"/>
      <c r="AG25" s="5423"/>
      <c r="AH25" s="5423"/>
      <c r="AI25" s="1164"/>
      <c r="AQ25" s="1076">
        <v>14</v>
      </c>
    </row>
    <row r="26" spans="1:43" ht="14.25" hidden="1" customHeight="1">
      <c r="Q26" s="314"/>
      <c r="R26" s="314"/>
      <c r="S26" s="1196"/>
      <c r="T26" s="301"/>
      <c r="U26" s="301"/>
      <c r="V26" s="260"/>
      <c r="W26" s="260"/>
      <c r="X26" s="260"/>
      <c r="Y26" s="260"/>
      <c r="Z26" s="260"/>
      <c r="AA26" s="260"/>
      <c r="AB26" s="260"/>
      <c r="AC26" s="260"/>
      <c r="AD26" s="260"/>
      <c r="AE26" s="260"/>
      <c r="AF26" s="260"/>
      <c r="AG26" s="260"/>
      <c r="AH26" s="260"/>
      <c r="AI26" s="260"/>
      <c r="AJ26" s="447"/>
      <c r="AQ26" s="1076">
        <v>0</v>
      </c>
    </row>
    <row r="27" spans="1:43" s="4284" customFormat="1" ht="25.5" hidden="1" customHeight="1">
      <c r="A27" s="1289"/>
      <c r="B27" s="1289"/>
      <c r="C27" s="1289"/>
      <c r="D27" s="1289"/>
      <c r="E27" s="1289"/>
      <c r="F27" s="1289"/>
      <c r="G27" s="1289"/>
      <c r="H27" s="1289"/>
      <c r="I27" s="1289"/>
      <c r="J27" s="1289"/>
      <c r="K27" s="1289"/>
      <c r="L27" s="1290"/>
      <c r="M27" s="1289"/>
      <c r="N27" s="1289"/>
      <c r="O27" s="1289"/>
      <c r="S27" s="5460" t="s">
        <v>42</v>
      </c>
      <c r="T27" s="5460"/>
      <c r="U27" s="1293"/>
      <c r="V27" s="5462" t="str">
        <f>IF(TITLE_NAME_OR_PR_CHANGE="",IF(TITLE_NAME_OR_PR="","",TITLE_NAME_OR_PR),TITLE_NAME_OR_PR_CHANGE)</f>
        <v/>
      </c>
      <c r="W27" s="5462"/>
      <c r="X27" s="5462"/>
      <c r="Y27" s="5462"/>
      <c r="Z27" s="5462"/>
      <c r="AA27" s="5462"/>
      <c r="AB27" s="264"/>
      <c r="AC27" s="5462" t="str">
        <f>IF(TITLE_NAME_OR_PR_CHANGE="",IF(TITLE_NAME_OR_PR="","",TITLE_NAME_OR_PR),TITLE_NAME_OR_PR_CHANGE)</f>
        <v/>
      </c>
      <c r="AD27" s="5462"/>
      <c r="AE27" s="5462"/>
      <c r="AF27" s="5462"/>
      <c r="AG27" s="5462"/>
      <c r="AH27" s="5462"/>
      <c r="AI27" s="264"/>
      <c r="AJ27" s="264"/>
      <c r="AK27" s="218"/>
      <c r="AL27" s="306"/>
      <c r="AM27" s="306"/>
      <c r="AN27" s="306"/>
      <c r="AO27" s="306"/>
      <c r="AP27" s="306"/>
      <c r="AQ27" s="356">
        <v>0</v>
      </c>
    </row>
    <row r="28" spans="1:43" s="4284" customFormat="1" ht="18.75" hidden="1" customHeight="1">
      <c r="A28" s="1289"/>
      <c r="B28" s="1289"/>
      <c r="C28" s="1289"/>
      <c r="D28" s="1289"/>
      <c r="E28" s="1289"/>
      <c r="F28" s="1289"/>
      <c r="G28" s="1289"/>
      <c r="H28" s="1289"/>
      <c r="I28" s="1289"/>
      <c r="J28" s="1289"/>
      <c r="K28" s="1289"/>
      <c r="L28" s="1290"/>
      <c r="M28" s="1289"/>
      <c r="N28" s="1289"/>
      <c r="O28" s="1289"/>
      <c r="S28" s="5460" t="s">
        <v>514</v>
      </c>
      <c r="T28" s="5460"/>
      <c r="U28" s="1293"/>
      <c r="V28" s="5461">
        <f>IF(TITLE_DATE_PR_CHANGE="",IF(TITLE_DATE_PR="","",TITLE_DATE_PR),TITLE_DATE_PR_CHANGE)</f>
        <v>45649.605891203704</v>
      </c>
      <c r="W28" s="5461"/>
      <c r="X28" s="5461"/>
      <c r="Y28" s="5461"/>
      <c r="Z28" s="5461"/>
      <c r="AA28" s="5461"/>
      <c r="AB28" s="264"/>
      <c r="AC28" s="5461">
        <f>IF(TITLE_DATE_PR_CHANGE="",IF(TITLE_DATE_PR="","",TITLE_DATE_PR),TITLE_DATE_PR_CHANGE)</f>
        <v>45649.605891203704</v>
      </c>
      <c r="AD28" s="5461"/>
      <c r="AE28" s="5461"/>
      <c r="AF28" s="5461"/>
      <c r="AG28" s="5461"/>
      <c r="AH28" s="5461"/>
      <c r="AI28" s="264"/>
      <c r="AJ28" s="264"/>
      <c r="AK28" s="218"/>
      <c r="AL28" s="306"/>
      <c r="AM28" s="306"/>
      <c r="AN28" s="306"/>
      <c r="AO28" s="306"/>
      <c r="AP28" s="306"/>
      <c r="AQ28" s="356">
        <v>0</v>
      </c>
    </row>
    <row r="29" spans="1:43" s="4284" customFormat="1" ht="18.75" hidden="1" customHeight="1">
      <c r="A29" s="1289"/>
      <c r="B29" s="1289"/>
      <c r="C29" s="1289"/>
      <c r="D29" s="1289"/>
      <c r="E29" s="1289"/>
      <c r="F29" s="1289"/>
      <c r="G29" s="1289"/>
      <c r="H29" s="1289"/>
      <c r="I29" s="1289"/>
      <c r="J29" s="1289"/>
      <c r="K29" s="1289"/>
      <c r="L29" s="1290"/>
      <c r="M29" s="1289"/>
      <c r="N29" s="1289"/>
      <c r="O29" s="1289"/>
      <c r="S29" s="5460" t="s">
        <v>515</v>
      </c>
      <c r="T29" s="5460"/>
      <c r="U29" s="1293"/>
      <c r="V29" s="5462" t="str">
        <f>IF(TITLE_NUMBER_PR_CHANGE="",IF(TITLE_NUMBER_PR="","",TITLE_NUMBER_PR),TITLE_NUMBER_PR_CHANGE)</f>
        <v>27-6414</v>
      </c>
      <c r="W29" s="5462"/>
      <c r="X29" s="5462"/>
      <c r="Y29" s="5462"/>
      <c r="Z29" s="5462"/>
      <c r="AA29" s="5462"/>
      <c r="AB29" s="264"/>
      <c r="AC29" s="5462" t="str">
        <f>IF(TITLE_NUMBER_PR_CHANGE="",IF(TITLE_NUMBER_PR="","",TITLE_NUMBER_PR),TITLE_NUMBER_PR_CHANGE)</f>
        <v>27-6414</v>
      </c>
      <c r="AD29" s="5462"/>
      <c r="AE29" s="5462"/>
      <c r="AF29" s="5462"/>
      <c r="AG29" s="5462"/>
      <c r="AH29" s="5462"/>
      <c r="AI29" s="264"/>
      <c r="AJ29" s="264"/>
      <c r="AK29" s="218"/>
      <c r="AL29" s="306"/>
      <c r="AM29" s="306"/>
      <c r="AN29" s="306"/>
      <c r="AO29" s="306"/>
      <c r="AP29" s="306"/>
      <c r="AQ29" s="356">
        <v>0</v>
      </c>
    </row>
    <row r="30" spans="1:43" s="4284" customFormat="1" ht="18.75" hidden="1" customHeight="1">
      <c r="A30" s="1289"/>
      <c r="B30" s="1289"/>
      <c r="C30" s="1289"/>
      <c r="D30" s="1289"/>
      <c r="E30" s="1289"/>
      <c r="F30" s="1289"/>
      <c r="G30" s="1289"/>
      <c r="H30" s="1289"/>
      <c r="I30" s="1289"/>
      <c r="J30" s="1289"/>
      <c r="K30" s="1289"/>
      <c r="L30" s="1290"/>
      <c r="M30" s="1289"/>
      <c r="N30" s="1289"/>
      <c r="O30" s="1289"/>
      <c r="S30" s="5460" t="s">
        <v>43</v>
      </c>
      <c r="T30" s="5460"/>
      <c r="U30" s="1293"/>
      <c r="V30" s="5462" t="str">
        <f>IF(TITLE_IST_PUB_CHANGE="",IF(TITLE_IST_PUB="","",TITLE_IST_PUB),TITLE_IST_PUB_CHANGE)</f>
        <v/>
      </c>
      <c r="W30" s="5462"/>
      <c r="X30" s="5462"/>
      <c r="Y30" s="5462"/>
      <c r="Z30" s="5462"/>
      <c r="AA30" s="5462"/>
      <c r="AB30" s="264"/>
      <c r="AC30" s="5462" t="str">
        <f>IF(TITLE_IST_PUB_CHANGE="",IF(TITLE_IST_PUB="","",TITLE_IST_PUB),TITLE_IST_PUB_CHANGE)</f>
        <v/>
      </c>
      <c r="AD30" s="5462"/>
      <c r="AE30" s="5462"/>
      <c r="AF30" s="5462"/>
      <c r="AG30" s="5462"/>
      <c r="AH30" s="5462"/>
      <c r="AI30" s="264"/>
      <c r="AJ30" s="264"/>
      <c r="AK30" s="218"/>
      <c r="AL30" s="306"/>
      <c r="AM30" s="306"/>
      <c r="AN30" s="306"/>
      <c r="AO30" s="306"/>
      <c r="AP30" s="306"/>
      <c r="AQ30" s="356">
        <v>0</v>
      </c>
    </row>
    <row r="31" spans="1:43" ht="14.25" customHeight="1">
      <c r="Q31" s="314"/>
      <c r="R31" s="314"/>
      <c r="S31" s="1196"/>
      <c r="T31" s="301"/>
      <c r="U31" s="301"/>
      <c r="V31" s="260"/>
      <c r="W31" s="260"/>
      <c r="X31" s="260"/>
      <c r="Y31" s="260"/>
      <c r="Z31" s="260"/>
      <c r="AA31" s="260"/>
      <c r="AB31" s="260"/>
      <c r="AC31" s="260"/>
      <c r="AD31" s="260"/>
      <c r="AE31" s="260"/>
      <c r="AF31" s="260"/>
      <c r="AG31" s="260"/>
      <c r="AH31" s="260"/>
      <c r="AI31" s="260"/>
      <c r="AJ31" s="447"/>
      <c r="AQ31" s="1076">
        <v>0</v>
      </c>
    </row>
    <row r="32" spans="1:43" s="4284" customFormat="1" ht="18.75" customHeight="1">
      <c r="A32" s="1289"/>
      <c r="B32" s="1289"/>
      <c r="C32" s="1289"/>
      <c r="D32" s="1289"/>
      <c r="E32" s="1289"/>
      <c r="F32" s="1289"/>
      <c r="G32" s="1289"/>
      <c r="H32" s="1289"/>
      <c r="I32" s="1289"/>
      <c r="J32" s="1289"/>
      <c r="K32" s="1289"/>
      <c r="L32" s="1290"/>
      <c r="M32" s="1289"/>
      <c r="N32" s="1289"/>
      <c r="O32" s="1289"/>
      <c r="S32" s="5460" t="s">
        <v>516</v>
      </c>
      <c r="T32" s="5460"/>
      <c r="U32" s="1293"/>
      <c r="V32" s="5461">
        <f>IF(TITLE_DATE_PR_CHANGE="",IF(TITLE_DATE_PR="","",TITLE_DATE_PR),TITLE_DATE_PR_CHANGE)</f>
        <v>45649.605891203704</v>
      </c>
      <c r="W32" s="5461"/>
      <c r="X32" s="5461"/>
      <c r="Y32" s="5461"/>
      <c r="Z32" s="5461"/>
      <c r="AA32" s="5461"/>
      <c r="AB32" s="264"/>
      <c r="AC32" s="5461">
        <f>IF(TITLE_DATE_PR_CHANGE="",IF(TITLE_DATE_PR="","",TITLE_DATE_PR),TITLE_DATE_PR_CHANGE)</f>
        <v>45649.605891203704</v>
      </c>
      <c r="AD32" s="5461"/>
      <c r="AE32" s="5461"/>
      <c r="AF32" s="5461"/>
      <c r="AG32" s="5461"/>
      <c r="AH32" s="5461"/>
      <c r="AI32" s="264"/>
      <c r="AJ32" s="264"/>
      <c r="AK32" s="218"/>
      <c r="AL32" s="306"/>
      <c r="AM32" s="306"/>
      <c r="AN32" s="306"/>
      <c r="AO32" s="306"/>
      <c r="AP32" s="306"/>
      <c r="AQ32" s="356">
        <v>0</v>
      </c>
    </row>
    <row r="33" spans="1:43" s="4284" customFormat="1" ht="18.75" customHeight="1">
      <c r="A33" s="1289"/>
      <c r="B33" s="1289"/>
      <c r="C33" s="1289"/>
      <c r="D33" s="1289"/>
      <c r="E33" s="1289"/>
      <c r="F33" s="1289"/>
      <c r="G33" s="1289"/>
      <c r="H33" s="1289"/>
      <c r="I33" s="1289"/>
      <c r="J33" s="1289"/>
      <c r="K33" s="1289"/>
      <c r="L33" s="1290"/>
      <c r="M33" s="1289"/>
      <c r="N33" s="1289"/>
      <c r="O33" s="1289"/>
      <c r="S33" s="5460" t="s">
        <v>517</v>
      </c>
      <c r="T33" s="5460"/>
      <c r="U33" s="1293"/>
      <c r="V33" s="5462" t="str">
        <f>IF(TITLE_NUMBER_PR_CHANGE="",IF(TITLE_NUMBER_PR="","",TITLE_NUMBER_PR),TITLE_NUMBER_PR_CHANGE)</f>
        <v>27-6414</v>
      </c>
      <c r="W33" s="5462"/>
      <c r="X33" s="5462"/>
      <c r="Y33" s="5462"/>
      <c r="Z33" s="5462"/>
      <c r="AA33" s="5462"/>
      <c r="AB33" s="264"/>
      <c r="AC33" s="5462" t="str">
        <f>IF(TITLE_NUMBER_PR_CHANGE="",IF(TITLE_NUMBER_PR="","",TITLE_NUMBER_PR),TITLE_NUMBER_PR_CHANGE)</f>
        <v>27-6414</v>
      </c>
      <c r="AD33" s="5462"/>
      <c r="AE33" s="5462"/>
      <c r="AF33" s="5462"/>
      <c r="AG33" s="5462"/>
      <c r="AH33" s="5462"/>
      <c r="AI33" s="264"/>
      <c r="AJ33" s="264"/>
      <c r="AK33" s="218"/>
      <c r="AL33" s="306"/>
      <c r="AM33" s="306"/>
      <c r="AN33" s="306"/>
      <c r="AO33" s="306"/>
      <c r="AP33" s="306"/>
      <c r="AQ33" s="356">
        <v>0</v>
      </c>
    </row>
    <row r="34" spans="1:43" s="4284" customFormat="1" ht="1.1499999999999999" customHeight="1">
      <c r="A34" s="1289"/>
      <c r="B34" s="1289"/>
      <c r="C34" s="1289"/>
      <c r="D34" s="1289"/>
      <c r="E34" s="1289"/>
      <c r="F34" s="1289"/>
      <c r="G34" s="1289"/>
      <c r="H34" s="1289"/>
      <c r="I34" s="1289"/>
      <c r="J34" s="1289"/>
      <c r="K34" s="1289"/>
      <c r="L34" s="1290"/>
      <c r="M34" s="1289"/>
      <c r="N34" s="1289"/>
      <c r="O34" s="1289"/>
      <c r="S34" s="261"/>
      <c r="T34" s="261"/>
      <c r="U34" s="1375"/>
      <c r="V34" s="264"/>
      <c r="W34" s="264"/>
      <c r="X34" s="264"/>
      <c r="Y34" s="264"/>
      <c r="Z34" s="264"/>
      <c r="AA34" s="264"/>
      <c r="AB34" s="216" t="s">
        <v>518</v>
      </c>
      <c r="AC34" s="264"/>
      <c r="AD34" s="264"/>
      <c r="AE34" s="264"/>
      <c r="AF34" s="264"/>
      <c r="AG34" s="264"/>
      <c r="AH34" s="264"/>
      <c r="AI34" s="216" t="s">
        <v>518</v>
      </c>
      <c r="AL34" s="306"/>
      <c r="AM34" s="306"/>
      <c r="AN34" s="306"/>
      <c r="AO34" s="306"/>
      <c r="AP34" s="306"/>
      <c r="AQ34" s="356">
        <v>1</v>
      </c>
    </row>
    <row r="35" spans="1:43" ht="14.65" customHeight="1">
      <c r="Q35" s="314"/>
      <c r="R35" s="314"/>
      <c r="S35" s="1196"/>
      <c r="T35" s="301"/>
      <c r="U35" s="1165"/>
      <c r="V35" s="5481"/>
      <c r="W35" s="5481"/>
      <c r="X35" s="5481"/>
      <c r="Y35" s="5481"/>
      <c r="Z35" s="5481"/>
      <c r="AA35" s="5481"/>
      <c r="AB35" s="5481"/>
      <c r="AC35" s="5481"/>
      <c r="AD35" s="5481"/>
      <c r="AE35" s="5481"/>
      <c r="AF35" s="5481"/>
      <c r="AG35" s="5481"/>
      <c r="AH35" s="5481"/>
      <c r="AI35" s="5481"/>
      <c r="AQ35" s="1076">
        <v>14</v>
      </c>
    </row>
    <row r="36" spans="1:43" ht="14.65" customHeight="1">
      <c r="Q36" s="314"/>
      <c r="R36" s="314"/>
      <c r="S36" s="5328" t="s">
        <v>393</v>
      </c>
      <c r="T36" s="5328"/>
      <c r="U36" s="5328"/>
      <c r="V36" s="5328"/>
      <c r="W36" s="5328"/>
      <c r="X36" s="5328"/>
      <c r="Y36" s="5328"/>
      <c r="Z36" s="5328"/>
      <c r="AA36" s="5328"/>
      <c r="AB36" s="5328"/>
      <c r="AC36" s="5328"/>
      <c r="AD36" s="5328"/>
      <c r="AE36" s="5328"/>
      <c r="AF36" s="5328"/>
      <c r="AG36" s="5328"/>
      <c r="AH36" s="5328"/>
      <c r="AI36" s="5328"/>
      <c r="AJ36" s="5328"/>
      <c r="AK36" s="5328" t="s">
        <v>394</v>
      </c>
      <c r="AQ36" s="1076">
        <v>14</v>
      </c>
    </row>
    <row r="37" spans="1:43" ht="14.65" customHeight="1">
      <c r="Q37" s="314"/>
      <c r="R37" s="314"/>
      <c r="S37" s="5482" t="s">
        <v>88</v>
      </c>
      <c r="T37" s="5431" t="s">
        <v>519</v>
      </c>
      <c r="U37" s="239"/>
      <c r="V37" s="5483" t="s">
        <v>520</v>
      </c>
      <c r="W37" s="5484"/>
      <c r="X37" s="5484"/>
      <c r="Y37" s="5484"/>
      <c r="Z37" s="5484"/>
      <c r="AA37" s="5485"/>
      <c r="AB37" s="5486" t="s">
        <v>521</v>
      </c>
      <c r="AC37" s="5483" t="s">
        <v>520</v>
      </c>
      <c r="AD37" s="5484"/>
      <c r="AE37" s="5484"/>
      <c r="AF37" s="5484"/>
      <c r="AG37" s="5484"/>
      <c r="AH37" s="5485"/>
      <c r="AI37" s="5486" t="s">
        <v>522</v>
      </c>
      <c r="AJ37" s="5489" t="s">
        <v>523</v>
      </c>
      <c r="AK37" s="5328"/>
      <c r="AQ37" s="1076">
        <v>14</v>
      </c>
    </row>
    <row r="38" spans="1:43" ht="35.65" customHeight="1">
      <c r="Q38" s="314"/>
      <c r="R38" s="314"/>
      <c r="S38" s="5482"/>
      <c r="T38" s="5431"/>
      <c r="U38" s="956"/>
      <c r="V38" s="1373" t="s">
        <v>579</v>
      </c>
      <c r="W38" s="5309" t="s">
        <v>526</v>
      </c>
      <c r="X38" s="5308"/>
      <c r="Y38" s="5309" t="s">
        <v>527</v>
      </c>
      <c r="Z38" s="5314"/>
      <c r="AA38" s="5308"/>
      <c r="AB38" s="5487"/>
      <c r="AC38" s="1373" t="s">
        <v>579</v>
      </c>
      <c r="AD38" s="5309" t="s">
        <v>526</v>
      </c>
      <c r="AE38" s="5308"/>
      <c r="AF38" s="5309" t="s">
        <v>527</v>
      </c>
      <c r="AG38" s="5314"/>
      <c r="AH38" s="5308"/>
      <c r="AI38" s="5487"/>
      <c r="AJ38" s="5490"/>
      <c r="AK38" s="5328"/>
      <c r="AQ38" s="1076">
        <v>34</v>
      </c>
    </row>
    <row r="39" spans="1:43" ht="35.65" customHeight="1">
      <c r="A39" s="1291"/>
      <c r="B39" s="1291" t="s">
        <v>167</v>
      </c>
      <c r="C39" s="1291" t="s">
        <v>168</v>
      </c>
      <c r="D39" s="1291" t="s">
        <v>169</v>
      </c>
      <c r="E39" s="1285" t="s">
        <v>528</v>
      </c>
      <c r="F39" s="1285" t="s">
        <v>529</v>
      </c>
      <c r="G39" s="1285" t="s">
        <v>530</v>
      </c>
      <c r="H39" s="1285"/>
      <c r="I39" s="1285" t="s">
        <v>580</v>
      </c>
      <c r="J39" s="1285" t="s">
        <v>533</v>
      </c>
      <c r="K39" s="1285" t="s">
        <v>581</v>
      </c>
      <c r="L39" s="1285" t="s">
        <v>509</v>
      </c>
      <c r="Q39" s="314"/>
      <c r="R39" s="314"/>
      <c r="S39" s="5482"/>
      <c r="T39" s="5431"/>
      <c r="U39" s="240"/>
      <c r="V39" s="1373" t="s">
        <v>582</v>
      </c>
      <c r="W39" s="1143" t="s">
        <v>583</v>
      </c>
      <c r="X39" s="1143" t="s">
        <v>584</v>
      </c>
      <c r="Y39" s="1376" t="s">
        <v>537</v>
      </c>
      <c r="Z39" s="5436" t="s">
        <v>538</v>
      </c>
      <c r="AA39" s="5449"/>
      <c r="AB39" s="5488"/>
      <c r="AC39" s="1373" t="s">
        <v>582</v>
      </c>
      <c r="AD39" s="1143" t="s">
        <v>583</v>
      </c>
      <c r="AE39" s="1143" t="s">
        <v>584</v>
      </c>
      <c r="AF39" s="1376" t="s">
        <v>537</v>
      </c>
      <c r="AG39" s="5436" t="s">
        <v>538</v>
      </c>
      <c r="AH39" s="5449"/>
      <c r="AI39" s="5488"/>
      <c r="AJ39" s="5491"/>
      <c r="AK39" s="5328"/>
      <c r="AQ39" s="1076">
        <v>34</v>
      </c>
    </row>
    <row r="40" spans="1:43" s="4299" customFormat="1" ht="0" hidden="1" customHeight="1">
      <c r="A40" s="1291"/>
      <c r="B40" s="1291"/>
      <c r="C40" s="1291"/>
      <c r="D40" s="1291"/>
      <c r="E40" s="1291"/>
      <c r="F40" s="1291"/>
      <c r="G40" s="1291"/>
      <c r="H40" s="1291"/>
      <c r="I40" s="1291"/>
      <c r="J40" s="1291"/>
      <c r="K40" s="1291"/>
      <c r="L40" s="1285"/>
      <c r="M40" s="1283"/>
      <c r="N40" s="1283"/>
      <c r="O40" s="1283"/>
      <c r="P40" s="1167"/>
      <c r="Q40" s="1168"/>
      <c r="R40" s="1175">
        <v>1</v>
      </c>
      <c r="S40" s="1198" t="s">
        <v>136</v>
      </c>
      <c r="T40" s="1176" t="s">
        <v>103</v>
      </c>
      <c r="U40" s="1166" t="str">
        <f ca="1">OFFSET(U40,0,-1)</f>
        <v>2</v>
      </c>
      <c r="V40" s="1372">
        <f ca="1">OFFSET(V40,0,-1)+1</f>
        <v>3</v>
      </c>
      <c r="W40" s="1372">
        <f ca="1">OFFSET(W40,0,-1)+1</f>
        <v>4</v>
      </c>
      <c r="X40" s="1372">
        <f ca="1">OFFSET(X40,0,-1)+1</f>
        <v>5</v>
      </c>
      <c r="Y40" s="1372">
        <f ca="1">OFFSET(Y40,0,-1)+1</f>
        <v>6</v>
      </c>
      <c r="Z40" s="5480">
        <f ca="1">OFFSET(Z40,0,-1)+1</f>
        <v>7</v>
      </c>
      <c r="AA40" s="5480"/>
      <c r="AB40" s="1372">
        <f ca="1">OFFSET(AB40,0,-2)+1</f>
        <v>8</v>
      </c>
      <c r="AC40" s="1372">
        <f ca="1">OFFSET(AC40,0,-1)+1</f>
        <v>9</v>
      </c>
      <c r="AD40" s="1372">
        <f ca="1">OFFSET(AD40,0,-1)+1</f>
        <v>10</v>
      </c>
      <c r="AE40" s="1372">
        <f ca="1">OFFSET(AE40,0,-1)+1</f>
        <v>11</v>
      </c>
      <c r="AF40" s="1372">
        <f ca="1">OFFSET(AF40,0,-1)+1</f>
        <v>12</v>
      </c>
      <c r="AG40" s="5480">
        <f ca="1">OFFSET(AG40,0,-1)+1</f>
        <v>13</v>
      </c>
      <c r="AH40" s="5480"/>
      <c r="AI40" s="1372">
        <f ca="1">OFFSET(AI40,0,-2)+1</f>
        <v>14</v>
      </c>
      <c r="AJ40" s="1166">
        <f ca="1">OFFSET(AJ40,0,-1)</f>
        <v>14</v>
      </c>
      <c r="AK40" s="1372">
        <f ca="1">OFFSET(AK40,0,-1)+1</f>
        <v>15</v>
      </c>
      <c r="AL40" s="449"/>
      <c r="AM40" s="449"/>
      <c r="AN40" s="449"/>
      <c r="AO40" s="449"/>
      <c r="AP40" s="449"/>
      <c r="AQ40" s="434">
        <v>0</v>
      </c>
    </row>
    <row r="41" spans="1:43" ht="24" customHeight="1">
      <c r="A41" s="1284" t="s">
        <v>265</v>
      </c>
      <c r="B41" s="1284"/>
      <c r="C41" s="1284"/>
      <c r="D41" s="1284"/>
      <c r="E41" s="5469">
        <v>1</v>
      </c>
      <c r="F41" s="1284"/>
      <c r="G41" s="1284"/>
      <c r="H41" s="1284"/>
      <c r="I41" s="1284"/>
      <c r="J41" s="1284"/>
      <c r="K41" s="1284"/>
      <c r="L41" s="1285"/>
      <c r="M41" s="1286"/>
      <c r="N41" s="1286"/>
      <c r="O41" s="1286"/>
      <c r="P41" s="299"/>
      <c r="Q41" s="298"/>
      <c r="R41" s="293"/>
      <c r="S41" s="1378">
        <f>INDEX(PT_DIFFERENTIATION_NUM_NTAR,MATCH(A41,PT_DIFFERENTIATION_NTAR_ID,0))</f>
        <v>0</v>
      </c>
      <c r="T41" s="236" t="s">
        <v>155</v>
      </c>
      <c r="U41" s="238"/>
      <c r="V41" s="5463"/>
      <c r="W41" s="5464"/>
      <c r="X41" s="5464"/>
      <c r="Y41" s="5464"/>
      <c r="Z41" s="5464"/>
      <c r="AA41" s="5464"/>
      <c r="AB41" s="5465"/>
      <c r="AC41" s="5463" t="str">
        <f>INDEX(PT_DIFFERENTIATION_NTAR,MATCH(A41,PT_DIFFERENTIATION_NTAR_ID,0))</f>
        <v/>
      </c>
      <c r="AD41" s="5464"/>
      <c r="AE41" s="5464"/>
      <c r="AF41" s="5464"/>
      <c r="AG41" s="5464"/>
      <c r="AH41" s="5464"/>
      <c r="AI41" s="5464"/>
      <c r="AJ41" s="5465"/>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76">
        <v>23</v>
      </c>
    </row>
    <row r="42" spans="1:43" ht="24" customHeight="1">
      <c r="A42" s="1284" t="s">
        <v>265</v>
      </c>
      <c r="B42" s="1284" t="s">
        <v>266</v>
      </c>
      <c r="C42" s="1284"/>
      <c r="D42" s="1284"/>
      <c r="E42" s="5470"/>
      <c r="F42" s="5469">
        <v>1</v>
      </c>
      <c r="G42" s="1284"/>
      <c r="H42" s="1284"/>
      <c r="I42" s="1284"/>
      <c r="J42" s="1284"/>
      <c r="K42" s="1284"/>
      <c r="L42" s="1285"/>
      <c r="M42" s="1286"/>
      <c r="N42" s="1286"/>
      <c r="O42" s="1286"/>
      <c r="P42" s="1374"/>
      <c r="Q42" s="290"/>
      <c r="R42" s="291"/>
      <c r="S42" s="1378" t="str">
        <f>INDEX(PT_DIFFERENTIATION_NUM_TER,MATCH(B42,PT_DIFFERENTIATION_TER_ID,0))</f>
        <v>.</v>
      </c>
      <c r="T42" s="246" t="s">
        <v>490</v>
      </c>
      <c r="U42" s="238"/>
      <c r="V42" s="5463"/>
      <c r="W42" s="5464"/>
      <c r="X42" s="5464"/>
      <c r="Y42" s="5464"/>
      <c r="Z42" s="5464"/>
      <c r="AA42" s="5464"/>
      <c r="AB42" s="5465"/>
      <c r="AC42" s="5463" t="str">
        <f>INDEX(PT_DIFFERENTIATION_TER,MATCH(B42,PT_DIFFERENTIATION_TER_ID,0))</f>
        <v/>
      </c>
      <c r="AD42" s="5464"/>
      <c r="AE42" s="5464"/>
      <c r="AF42" s="5464"/>
      <c r="AG42" s="5464"/>
      <c r="AH42" s="5464"/>
      <c r="AI42" s="5464"/>
      <c r="AJ42" s="5465"/>
      <c r="AK42" s="1179" t="s">
        <v>491</v>
      </c>
      <c r="AM42" s="438"/>
      <c r="AN42" s="438" t="str">
        <f t="shared" si="1"/>
        <v>Территория действия тарифа</v>
      </c>
      <c r="AO42" s="438"/>
      <c r="AP42" s="438"/>
      <c r="AQ42" s="1076">
        <v>23</v>
      </c>
    </row>
    <row r="43" spans="1:43" ht="24" customHeight="1">
      <c r="A43" s="1284" t="s">
        <v>265</v>
      </c>
      <c r="B43" s="1284" t="s">
        <v>266</v>
      </c>
      <c r="C43" s="1284" t="s">
        <v>267</v>
      </c>
      <c r="D43" s="1284"/>
      <c r="E43" s="5470"/>
      <c r="F43" s="5470"/>
      <c r="G43" s="5469">
        <v>1</v>
      </c>
      <c r="H43" s="1284"/>
      <c r="I43" s="1284"/>
      <c r="J43" s="1284"/>
      <c r="K43" s="1284"/>
      <c r="L43" s="1285"/>
      <c r="M43" s="1286"/>
      <c r="N43" s="1286"/>
      <c r="O43" s="1286"/>
      <c r="P43" s="292"/>
      <c r="Q43" s="290"/>
      <c r="R43" s="291"/>
      <c r="S43" s="1378" t="str">
        <f>INDEX(PT_DIFFERENTIATION_NUM_CS,MATCH(C43,PT_DIFFERENTIATION_CS_ID,0))</f>
        <v>..</v>
      </c>
      <c r="T43" s="247" t="s">
        <v>571</v>
      </c>
      <c r="U43" s="238"/>
      <c r="V43" s="5463"/>
      <c r="W43" s="5464"/>
      <c r="X43" s="5464"/>
      <c r="Y43" s="5464"/>
      <c r="Z43" s="5464"/>
      <c r="AA43" s="5464"/>
      <c r="AB43" s="5465"/>
      <c r="AC43" s="5463" t="str">
        <f>INDEX(PT_DIFFERENTIATION_CS,MATCH(C43,PT_DIFFERENTIATION_CS_ID,0))</f>
        <v/>
      </c>
      <c r="AD43" s="5464"/>
      <c r="AE43" s="5464"/>
      <c r="AF43" s="5464"/>
      <c r="AG43" s="5464"/>
      <c r="AH43" s="5464"/>
      <c r="AI43" s="5464"/>
      <c r="AJ43" s="5465"/>
      <c r="AK43" s="1179" t="s">
        <v>572</v>
      </c>
      <c r="AM43" s="438"/>
      <c r="AN43" s="438" t="str">
        <f t="shared" si="1"/>
        <v>Наименование централизованной системы холодного водоснабжения</v>
      </c>
      <c r="AO43" s="438"/>
      <c r="AP43" s="438"/>
      <c r="AQ43" s="1076">
        <v>23</v>
      </c>
    </row>
    <row r="44" spans="1:43" ht="24" customHeight="1">
      <c r="A44" s="1284" t="s">
        <v>265</v>
      </c>
      <c r="B44" s="1284" t="s">
        <v>266</v>
      </c>
      <c r="C44" s="1284" t="s">
        <v>267</v>
      </c>
      <c r="D44" s="1284" t="s">
        <v>587</v>
      </c>
      <c r="E44" s="5470"/>
      <c r="F44" s="5470"/>
      <c r="G44" s="5470"/>
      <c r="H44" s="5470"/>
      <c r="I44" s="5471" t="str">
        <f>S43&amp;".1"</f>
        <v>...1</v>
      </c>
      <c r="J44" s="1284"/>
      <c r="K44" s="1284"/>
      <c r="L44" s="1285"/>
      <c r="P44" s="5473">
        <v>1</v>
      </c>
      <c r="Q44" s="1371"/>
      <c r="R44" s="294"/>
      <c r="S44" s="1378" t="str">
        <f>$I44</f>
        <v>...1</v>
      </c>
      <c r="T44" s="223" t="s">
        <v>573</v>
      </c>
      <c r="U44" s="238"/>
      <c r="V44" s="5537"/>
      <c r="W44" s="5538"/>
      <c r="X44" s="5538"/>
      <c r="Y44" s="5538"/>
      <c r="Z44" s="5538"/>
      <c r="AA44" s="5538"/>
      <c r="AB44" s="5539"/>
      <c r="AC44" s="5540"/>
      <c r="AD44" s="5541"/>
      <c r="AE44" s="5541"/>
      <c r="AF44" s="5541"/>
      <c r="AG44" s="5541"/>
      <c r="AH44" s="5541"/>
      <c r="AI44" s="5541"/>
      <c r="AJ44" s="5542"/>
      <c r="AK44" s="1179" t="s">
        <v>574</v>
      </c>
      <c r="AM44" s="438"/>
      <c r="AN44" s="438" t="str">
        <f t="shared" si="1"/>
        <v>Наименование признака дифференциации</v>
      </c>
      <c r="AO44" s="438"/>
      <c r="AP44" s="438"/>
      <c r="AQ44" s="1076">
        <v>23</v>
      </c>
    </row>
    <row r="45" spans="1:43" ht="24" customHeight="1">
      <c r="A45" s="1284" t="s">
        <v>265</v>
      </c>
      <c r="B45" s="1284" t="s">
        <v>266</v>
      </c>
      <c r="C45" s="1284" t="s">
        <v>267</v>
      </c>
      <c r="D45" s="1284" t="s">
        <v>587</v>
      </c>
      <c r="E45" s="5470"/>
      <c r="F45" s="5470"/>
      <c r="G45" s="5470"/>
      <c r="H45" s="5470"/>
      <c r="I45" s="5472"/>
      <c r="J45" s="5471" t="str">
        <f>I44&amp;".1"</f>
        <v>...1.1</v>
      </c>
      <c r="K45" s="1284"/>
      <c r="L45" s="1285" t="s">
        <v>499</v>
      </c>
      <c r="P45" s="5473"/>
      <c r="Q45" s="5473">
        <v>1</v>
      </c>
      <c r="R45" s="295"/>
      <c r="S45" s="1378" t="str">
        <f>$J45</f>
        <v>...1.1</v>
      </c>
      <c r="T45" s="224" t="s">
        <v>500</v>
      </c>
      <c r="U45" s="238"/>
      <c r="V45" s="5457"/>
      <c r="W45" s="5458"/>
      <c r="X45" s="5458"/>
      <c r="Y45" s="5458"/>
      <c r="Z45" s="5458"/>
      <c r="AA45" s="5458"/>
      <c r="AB45" s="5459"/>
      <c r="AC45" s="5457"/>
      <c r="AD45" s="5458"/>
      <c r="AE45" s="5458"/>
      <c r="AF45" s="5458"/>
      <c r="AG45" s="5458"/>
      <c r="AH45" s="5458"/>
      <c r="AI45" s="5458"/>
      <c r="AJ45" s="5459"/>
      <c r="AK45" s="1228" t="s">
        <v>575</v>
      </c>
      <c r="AM45" s="438"/>
      <c r="AN45" s="438" t="str">
        <f t="shared" si="1"/>
        <v>Группа потребителей</v>
      </c>
      <c r="AO45" s="438"/>
      <c r="AP45" s="438"/>
      <c r="AQ45" s="1076">
        <v>23</v>
      </c>
    </row>
    <row r="46" spans="1:43" ht="24" customHeight="1">
      <c r="A46" s="1284" t="s">
        <v>265</v>
      </c>
      <c r="B46" s="1284" t="s">
        <v>266</v>
      </c>
      <c r="C46" s="1284" t="s">
        <v>267</v>
      </c>
      <c r="D46" s="1284" t="s">
        <v>587</v>
      </c>
      <c r="E46" s="5470"/>
      <c r="F46" s="5470"/>
      <c r="G46" s="5470"/>
      <c r="H46" s="5470"/>
      <c r="I46" s="5472"/>
      <c r="J46" s="5472"/>
      <c r="K46" s="5471" t="str">
        <f>J45&amp;".1"</f>
        <v>...1.1.1</v>
      </c>
      <c r="L46" s="1285"/>
      <c r="P46" s="5473"/>
      <c r="Q46" s="5473"/>
      <c r="R46" s="295">
        <v>1</v>
      </c>
      <c r="S46" s="1378" t="str">
        <f>$K46</f>
        <v>...1.1.1</v>
      </c>
      <c r="T46" s="1358"/>
      <c r="U46" s="238"/>
      <c r="V46" s="689"/>
      <c r="W46" s="689"/>
      <c r="X46" s="1178"/>
      <c r="Y46" s="5474"/>
      <c r="Z46" s="5338" t="s">
        <v>66</v>
      </c>
      <c r="AA46" s="5474"/>
      <c r="AB46" s="5338" t="s">
        <v>66</v>
      </c>
      <c r="AC46" s="689"/>
      <c r="AD46" s="689"/>
      <c r="AE46" s="1178"/>
      <c r="AF46" s="5474"/>
      <c r="AG46" s="5338" t="s">
        <v>66</v>
      </c>
      <c r="AH46" s="5476"/>
      <c r="AI46" s="5338" t="s">
        <v>66</v>
      </c>
      <c r="AJ46" s="1359"/>
      <c r="AK4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76">
        <v>23</v>
      </c>
    </row>
    <row r="47" spans="1:43" ht="0" hidden="1" customHeight="1">
      <c r="A47" s="1284" t="s">
        <v>265</v>
      </c>
      <c r="B47" s="1284" t="s">
        <v>266</v>
      </c>
      <c r="C47" s="1284" t="s">
        <v>267</v>
      </c>
      <c r="D47" s="1284" t="s">
        <v>587</v>
      </c>
      <c r="E47" s="5470"/>
      <c r="F47" s="5470"/>
      <c r="G47" s="5470"/>
      <c r="H47" s="5470"/>
      <c r="I47" s="5472"/>
      <c r="J47" s="5472"/>
      <c r="K47" s="5471"/>
      <c r="L47" s="1285"/>
      <c r="P47" s="5473"/>
      <c r="Q47" s="5473"/>
      <c r="R47" s="295"/>
      <c r="S47" s="1377"/>
      <c r="T47" s="238"/>
      <c r="U47" s="238"/>
      <c r="V47" s="263"/>
      <c r="W47" s="263"/>
      <c r="X47" s="266" t="str">
        <f>Y46&amp;"-"&amp;AA46</f>
        <v>-</v>
      </c>
      <c r="Y47" s="5475"/>
      <c r="Z47" s="5338"/>
      <c r="AA47" s="5475"/>
      <c r="AB47" s="5338"/>
      <c r="AC47" s="263"/>
      <c r="AD47" s="263"/>
      <c r="AE47" s="266" t="str">
        <f>AF46&amp;"-"&amp;AH46</f>
        <v>-</v>
      </c>
      <c r="AF47" s="5475"/>
      <c r="AG47" s="5338"/>
      <c r="AH47" s="5477"/>
      <c r="AI47" s="5338"/>
      <c r="AJ47" s="1360"/>
      <c r="AK47" s="5543"/>
      <c r="AM47" s="438"/>
      <c r="AN47" s="438" t="str">
        <f t="shared" si="1"/>
        <v/>
      </c>
      <c r="AO47" s="438"/>
      <c r="AP47" s="438"/>
      <c r="AQ47" s="1076">
        <v>0</v>
      </c>
    </row>
    <row r="48" spans="1:43" ht="21" customHeight="1">
      <c r="A48" s="1284" t="s">
        <v>265</v>
      </c>
      <c r="B48" s="1284" t="s">
        <v>266</v>
      </c>
      <c r="C48" s="1284" t="s">
        <v>267</v>
      </c>
      <c r="D48" s="1284" t="s">
        <v>587</v>
      </c>
      <c r="E48" s="5470"/>
      <c r="F48" s="5470"/>
      <c r="G48" s="5470"/>
      <c r="H48" s="5470"/>
      <c r="I48" s="5472"/>
      <c r="J48" s="5471"/>
      <c r="K48" s="1284"/>
      <c r="L48" s="1285"/>
      <c r="P48" s="5473"/>
      <c r="Q48" s="5473"/>
      <c r="R48" s="294"/>
      <c r="S48" s="1199"/>
      <c r="T48" s="225" t="s">
        <v>576</v>
      </c>
      <c r="U48" s="305"/>
      <c r="V48" s="305"/>
      <c r="W48" s="305"/>
      <c r="X48" s="305"/>
      <c r="Y48" s="305"/>
      <c r="Z48" s="305"/>
      <c r="AA48" s="305"/>
      <c r="AB48" s="305"/>
      <c r="AC48" s="305"/>
      <c r="AD48" s="305"/>
      <c r="AE48" s="305"/>
      <c r="AF48" s="305"/>
      <c r="AG48" s="305"/>
      <c r="AH48" s="305"/>
      <c r="AI48" s="305"/>
      <c r="AJ48" s="305"/>
      <c r="AK48" s="1179" t="s">
        <v>577</v>
      </c>
      <c r="AM48" s="438"/>
      <c r="AN48" s="438" t="str">
        <f t="shared" si="1"/>
        <v>Добавить значение признака дифференциации</v>
      </c>
      <c r="AO48" s="438"/>
      <c r="AP48" s="438"/>
      <c r="AQ48" s="1076">
        <v>20</v>
      </c>
    </row>
    <row r="49" spans="1:43" ht="21.95" customHeight="1">
      <c r="A49" s="1284" t="s">
        <v>265</v>
      </c>
      <c r="B49" s="1284" t="s">
        <v>266</v>
      </c>
      <c r="C49" s="1284" t="s">
        <v>267</v>
      </c>
      <c r="D49" s="1284" t="s">
        <v>587</v>
      </c>
      <c r="E49" s="5470"/>
      <c r="F49" s="5470"/>
      <c r="G49" s="5470"/>
      <c r="H49" s="5470"/>
      <c r="I49" s="5471"/>
      <c r="J49" s="1284"/>
      <c r="K49" s="1284"/>
      <c r="L49" s="1285"/>
      <c r="P49" s="5473"/>
      <c r="Q49" s="1371"/>
      <c r="R49" s="294"/>
      <c r="S49" s="1199"/>
      <c r="T49" s="303" t="s">
        <v>505</v>
      </c>
      <c r="U49" s="305"/>
      <c r="V49" s="305"/>
      <c r="W49" s="305"/>
      <c r="X49" s="305"/>
      <c r="Y49" s="305"/>
      <c r="Z49" s="305"/>
      <c r="AA49" s="305"/>
      <c r="AB49" s="304"/>
      <c r="AC49" s="305"/>
      <c r="AD49" s="305"/>
      <c r="AE49" s="305"/>
      <c r="AF49" s="305"/>
      <c r="AG49" s="305"/>
      <c r="AH49" s="305"/>
      <c r="AI49" s="304"/>
      <c r="AJ49" s="305"/>
      <c r="AK49" s="1361"/>
      <c r="AM49" s="438"/>
      <c r="AN49" s="438" t="str">
        <f t="shared" si="1"/>
        <v>Добавить группу потребителей</v>
      </c>
      <c r="AO49" s="438"/>
      <c r="AP49" s="438"/>
      <c r="AQ49" s="1076">
        <v>21</v>
      </c>
    </row>
    <row r="50" spans="1:43" ht="21.95" customHeight="1">
      <c r="A50" s="1284" t="s">
        <v>265</v>
      </c>
      <c r="B50" s="1284" t="s">
        <v>266</v>
      </c>
      <c r="C50" s="1284" t="s">
        <v>267</v>
      </c>
      <c r="D50" s="1284" t="s">
        <v>587</v>
      </c>
      <c r="E50" s="5470"/>
      <c r="F50" s="5470"/>
      <c r="G50" s="5470"/>
      <c r="H50" s="5469"/>
      <c r="I50" s="1284"/>
      <c r="J50" s="1284"/>
      <c r="K50" s="1284"/>
      <c r="L50" s="1285"/>
      <c r="M50" s="1286"/>
      <c r="N50" s="1286"/>
      <c r="O50" s="475"/>
      <c r="P50" s="298"/>
      <c r="Q50" s="313"/>
      <c r="R50" s="293"/>
      <c r="S50" s="1199"/>
      <c r="T50" s="310" t="s">
        <v>578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76">
        <v>21</v>
      </c>
    </row>
    <row r="51" spans="1:43" s="4275" customFormat="1" ht="0" hidden="1" customHeight="1">
      <c r="A51" s="1264" t="s">
        <v>265</v>
      </c>
      <c r="B51" s="1264" t="s">
        <v>266</v>
      </c>
      <c r="C51" s="1235"/>
      <c r="D51" s="1235"/>
      <c r="E51" s="5470"/>
      <c r="F51" s="5469"/>
      <c r="G51" s="1235"/>
      <c r="H51" s="1235"/>
      <c r="I51" s="1235"/>
      <c r="J51" s="1235"/>
      <c r="K51" s="1235"/>
      <c r="L51" s="1379"/>
      <c r="M51" s="1242"/>
      <c r="N51" s="1242"/>
      <c r="P51" s="1237"/>
      <c r="Q51" s="1238"/>
      <c r="R51" s="1237"/>
      <c r="S51" s="1243"/>
      <c r="T51" s="1246" t="s">
        <v>312</v>
      </c>
      <c r="U51" s="1245"/>
      <c r="V51" s="1245"/>
      <c r="W51" s="1245"/>
      <c r="X51" s="1245"/>
      <c r="Y51" s="1245"/>
      <c r="Z51" s="1245"/>
      <c r="AA51" s="1245"/>
      <c r="AB51" s="1245"/>
      <c r="AC51" s="1245"/>
      <c r="AD51" s="1245"/>
      <c r="AE51" s="1245"/>
      <c r="AF51" s="1245"/>
      <c r="AG51" s="1245"/>
      <c r="AH51" s="1245"/>
      <c r="AI51" s="1245"/>
      <c r="AJ51" s="1245"/>
      <c r="AK51" s="1245"/>
      <c r="AM51" s="721"/>
      <c r="AN51" s="721" t="str">
        <f t="shared" si="1"/>
        <v>Добавить централизованную систему для дифференциации</v>
      </c>
      <c r="AO51" s="721"/>
      <c r="AP51" s="721"/>
      <c r="AQ51" s="456">
        <v>0</v>
      </c>
    </row>
    <row r="52" spans="1:43" s="4275" customFormat="1" ht="0" hidden="1" customHeight="1">
      <c r="A52" s="1264" t="s">
        <v>265</v>
      </c>
      <c r="B52" s="1264"/>
      <c r="C52" s="1264"/>
      <c r="D52" s="1264"/>
      <c r="E52" s="5469"/>
      <c r="F52" s="1264"/>
      <c r="G52" s="1264"/>
      <c r="H52" s="1264"/>
      <c r="I52" s="1264"/>
      <c r="J52" s="1264"/>
      <c r="K52" s="1264"/>
      <c r="L52" s="1267"/>
      <c r="M52" s="1242"/>
      <c r="N52" s="1242"/>
      <c r="O52" s="456"/>
      <c r="P52" s="318"/>
      <c r="Q52" s="1265"/>
      <c r="R52" s="318"/>
      <c r="S52" s="1243"/>
      <c r="T52" s="1246" t="s">
        <v>360</v>
      </c>
      <c r="U52" s="1245"/>
      <c r="V52" s="1245"/>
      <c r="W52" s="1245"/>
      <c r="X52" s="1245"/>
      <c r="Y52" s="1245"/>
      <c r="Z52" s="1245"/>
      <c r="AA52" s="1245"/>
      <c r="AB52" s="1245"/>
      <c r="AC52" s="1245"/>
      <c r="AD52" s="1245"/>
      <c r="AE52" s="1245"/>
      <c r="AF52" s="1245"/>
      <c r="AG52" s="1245"/>
      <c r="AH52" s="1245"/>
      <c r="AI52" s="1245"/>
      <c r="AJ52" s="1245"/>
      <c r="AK52" s="1245"/>
      <c r="AM52" s="438"/>
      <c r="AN52" s="438" t="str">
        <f t="shared" si="1"/>
        <v>Добавить территорию для дифференциации</v>
      </c>
      <c r="AO52" s="438"/>
      <c r="AP52" s="438"/>
      <c r="AQ52" s="449">
        <v>0</v>
      </c>
    </row>
    <row r="53" spans="1:43" s="4275" customFormat="1" ht="0" hidden="1" customHeight="1">
      <c r="A53" s="1235"/>
      <c r="B53" s="1235"/>
      <c r="C53" s="1235"/>
      <c r="D53" s="1235"/>
      <c r="E53" s="1264"/>
      <c r="F53" s="1235"/>
      <c r="G53" s="1235"/>
      <c r="H53" s="1235"/>
      <c r="I53" s="1235"/>
      <c r="J53" s="1235"/>
      <c r="K53" s="1235"/>
      <c r="L53" s="1379"/>
      <c r="M53" s="1242"/>
      <c r="N53" s="1242"/>
      <c r="P53" s="1237"/>
      <c r="Q53" s="1238"/>
      <c r="R53" s="1237"/>
      <c r="S53" s="1243"/>
      <c r="T53" s="1246" t="s">
        <v>361</v>
      </c>
      <c r="U53" s="1245"/>
      <c r="V53" s="1245"/>
      <c r="W53" s="1245"/>
      <c r="X53" s="1245"/>
      <c r="Y53" s="1245"/>
      <c r="Z53" s="1245"/>
      <c r="AA53" s="1245"/>
      <c r="AB53" s="1245"/>
      <c r="AC53" s="1245"/>
      <c r="AD53" s="1245"/>
      <c r="AE53" s="1245"/>
      <c r="AF53" s="1245"/>
      <c r="AG53" s="1245"/>
      <c r="AH53" s="1245"/>
      <c r="AI53" s="1245"/>
      <c r="AJ53" s="1245"/>
      <c r="AK53" s="1245"/>
      <c r="AM53" s="721"/>
      <c r="AN53" s="721" t="str">
        <f t="shared" si="1"/>
        <v>Добавить наименование тарифа</v>
      </c>
      <c r="AO53" s="721"/>
      <c r="AP53" s="721"/>
      <c r="AQ53" s="456">
        <v>0</v>
      </c>
    </row>
    <row r="54" spans="1:43" ht="11.45" customHeight="1">
      <c r="M54" s="1081"/>
      <c r="N54" s="1081"/>
      <c r="O54" s="475"/>
      <c r="P54" s="1076"/>
      <c r="Q54" s="1076"/>
      <c r="R54" s="1076"/>
      <c r="S54" s="1076"/>
      <c r="AL54" s="1076"/>
      <c r="AM54" s="1076"/>
      <c r="AN54" s="1076"/>
      <c r="AO54" s="1076"/>
      <c r="AP54" s="1076"/>
      <c r="AQ54" s="1076">
        <v>11</v>
      </c>
    </row>
    <row r="55" spans="1:43" ht="14.65" customHeight="1">
      <c r="O55" s="475"/>
      <c r="S55" s="1174"/>
      <c r="T55" s="5468"/>
      <c r="U55" s="5468"/>
      <c r="V55" s="5468"/>
      <c r="W55" s="5468"/>
      <c r="X55" s="5468"/>
      <c r="Y55" s="5468"/>
      <c r="Z55" s="5468"/>
      <c r="AA55" s="5468"/>
      <c r="AB55" s="5468"/>
      <c r="AC55" s="5468"/>
      <c r="AD55" s="5468"/>
      <c r="AE55" s="5468"/>
      <c r="AF55" s="5468"/>
      <c r="AG55" s="5468"/>
      <c r="AH55" s="5468"/>
      <c r="AI55" s="5468"/>
      <c r="AJ55" s="5468"/>
      <c r="AK55" s="5468"/>
      <c r="AQ55" s="1076">
        <v>14</v>
      </c>
    </row>
    <row r="56" spans="1:43" ht="14.65" customHeight="1">
      <c r="O56" s="475"/>
      <c r="AQ56" s="1076">
        <v>14</v>
      </c>
    </row>
    <row r="57" spans="1:43" ht="14.65" customHeight="1">
      <c r="O57" s="475"/>
      <c r="S57" s="1174"/>
      <c r="T57" s="5468"/>
      <c r="U57" s="5468"/>
      <c r="V57" s="5468"/>
      <c r="W57" s="5468"/>
      <c r="X57" s="5468"/>
      <c r="Y57" s="5468"/>
      <c r="Z57" s="5468"/>
      <c r="AA57" s="5468"/>
      <c r="AB57" s="5468"/>
      <c r="AC57" s="5468"/>
      <c r="AD57" s="5468"/>
      <c r="AE57" s="5468"/>
      <c r="AF57" s="5468"/>
      <c r="AG57" s="5468"/>
      <c r="AH57" s="5468"/>
      <c r="AI57" s="5468"/>
      <c r="AJ57" s="5468"/>
      <c r="AK57" s="5468"/>
      <c r="AQ57" s="1076">
        <v>14</v>
      </c>
    </row>
    <row r="58" spans="1:43" ht="22.5" hidden="1" customHeight="1">
      <c r="A58" s="1081" t="s">
        <v>82</v>
      </c>
      <c r="B58" s="1081">
        <v>0</v>
      </c>
      <c r="C58" s="1081">
        <v>0</v>
      </c>
      <c r="D58" s="1081">
        <v>0</v>
      </c>
      <c r="E58" s="1081">
        <v>0</v>
      </c>
      <c r="F58" s="1081">
        <v>0</v>
      </c>
      <c r="G58" s="1081">
        <v>0</v>
      </c>
      <c r="H58" s="1081">
        <v>0</v>
      </c>
      <c r="I58" s="1081">
        <v>0</v>
      </c>
      <c r="J58" s="1081">
        <v>0</v>
      </c>
      <c r="K58" s="1081">
        <v>0</v>
      </c>
      <c r="L58" s="1368">
        <v>0</v>
      </c>
      <c r="M58" s="1283">
        <v>0</v>
      </c>
      <c r="N58" s="1283">
        <v>0</v>
      </c>
      <c r="O58" s="1283">
        <v>0</v>
      </c>
      <c r="P58" s="1367">
        <v>3</v>
      </c>
      <c r="Q58" s="282">
        <v>3</v>
      </c>
      <c r="R58" s="282">
        <v>3</v>
      </c>
      <c r="S58" s="519">
        <v>12</v>
      </c>
      <c r="T58" s="1076">
        <v>35</v>
      </c>
      <c r="U58" s="1076">
        <v>0</v>
      </c>
      <c r="V58" s="1076">
        <v>0</v>
      </c>
      <c r="W58" s="1076">
        <v>0</v>
      </c>
      <c r="X58" s="1076">
        <v>0</v>
      </c>
      <c r="Y58" s="1076">
        <v>0</v>
      </c>
      <c r="Z58" s="1076">
        <v>0</v>
      </c>
      <c r="AA58" s="1076">
        <v>0</v>
      </c>
      <c r="AB58" s="1076">
        <v>0</v>
      </c>
      <c r="AC58" s="1076">
        <v>24</v>
      </c>
      <c r="AD58" s="1076">
        <v>24</v>
      </c>
      <c r="AE58" s="1076">
        <v>24</v>
      </c>
      <c r="AF58" s="1076">
        <v>11</v>
      </c>
      <c r="AG58" s="1076">
        <v>3</v>
      </c>
      <c r="AH58" s="1076">
        <v>11</v>
      </c>
      <c r="AI58" s="1076">
        <v>0</v>
      </c>
      <c r="AJ58" s="1076">
        <v>4</v>
      </c>
      <c r="AK58" s="1076">
        <v>115</v>
      </c>
      <c r="AL58" s="449">
        <v>10</v>
      </c>
      <c r="AM58" s="449">
        <v>10</v>
      </c>
      <c r="AN58" s="449">
        <v>10</v>
      </c>
      <c r="AO58" s="449">
        <v>10</v>
      </c>
      <c r="AP58" s="449">
        <v>10</v>
      </c>
      <c r="AQ58" s="1076">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4.140625" style="4274" hidden="1" customWidth="1"/>
    <col min="10" max="10" width="9.85546875" style="4274" hidden="1" customWidth="1"/>
    <col min="11" max="11" width="14.710937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5" style="4267" customWidth="1"/>
    <col min="21" max="21" width="0.140625" style="4267" customWidth="1"/>
    <col min="22" max="24" width="24.7109375" style="4267" hidden="1" customWidth="1"/>
    <col min="25" max="25" width="11.7109375" style="4267" hidden="1" customWidth="1"/>
    <col min="26" max="26" width="3.7109375" style="4267" hidden="1" customWidth="1"/>
    <col min="27" max="27" width="11.7109375" style="4267" hidden="1" customWidth="1"/>
    <col min="28" max="28" width="8.5703125" style="4267" hidden="1" customWidth="1"/>
    <col min="29" max="29" width="24.7109375" style="4267" customWidth="1"/>
    <col min="30" max="31" width="24" style="4267" customWidth="1"/>
    <col min="32" max="32" width="11" style="4267" customWidth="1"/>
    <col min="33" max="33" width="3.7109375" style="4267" customWidth="1"/>
    <col min="34" max="34" width="11" style="4267" customWidth="1"/>
    <col min="35" max="35" width="8.5703125" style="4267" hidden="1" customWidth="1"/>
    <col min="36" max="36" width="4" style="4267" customWidth="1"/>
    <col min="37" max="37" width="115" style="4267" customWidth="1"/>
    <col min="38" max="42" width="10" style="4275" customWidth="1"/>
    <col min="43" max="43" width="10.5703125" style="4267" hidden="1"/>
  </cols>
  <sheetData>
    <row r="1" spans="1:43" ht="22.5" hidden="1" customHeight="1">
      <c r="X1" s="265"/>
      <c r="Y1" s="265"/>
      <c r="AE1" s="265"/>
      <c r="AF1" s="265"/>
      <c r="AQ1" s="1076" t="s">
        <v>14</v>
      </c>
    </row>
    <row r="2" spans="1:43" ht="23.25" hidden="1" customHeight="1">
      <c r="A2" s="1284"/>
      <c r="B2" s="1284"/>
      <c r="C2" s="1284"/>
      <c r="D2" s="1284"/>
      <c r="E2" s="5469">
        <v>1</v>
      </c>
      <c r="F2" s="1284"/>
      <c r="G2" s="1284"/>
      <c r="H2" s="1284"/>
      <c r="I2" s="1284"/>
      <c r="J2" s="1284"/>
      <c r="K2" s="1284"/>
      <c r="L2" s="1285"/>
      <c r="M2" s="1286"/>
      <c r="N2" s="1286"/>
      <c r="O2" s="1286"/>
      <c r="P2" s="299"/>
      <c r="Q2" s="298"/>
      <c r="R2" s="293"/>
      <c r="S2" s="1378" t="e">
        <f>INDEX(PT_DIFFERENTIATION_NUM_NTAR,MATCH(A2,PT_DIFFERENTIATION_NTAR_ID,0))</f>
        <v>#N/A</v>
      </c>
      <c r="T2" s="236" t="s">
        <v>155</v>
      </c>
      <c r="U2" s="238"/>
      <c r="V2" s="5463"/>
      <c r="W2" s="5464"/>
      <c r="X2" s="5464"/>
      <c r="Y2" s="5464"/>
      <c r="Z2" s="5464"/>
      <c r="AA2" s="5464"/>
      <c r="AB2" s="5465"/>
      <c r="AC2" s="5463" t="e">
        <f>INDEX(PT_DIFFERENTIATION_NTAR,MATCH(A2,PT_DIFFERENTIATION_NTAR_ID,0))</f>
        <v>#N/A</v>
      </c>
      <c r="AD2" s="5464"/>
      <c r="AE2" s="5464"/>
      <c r="AF2" s="5464"/>
      <c r="AG2" s="5464"/>
      <c r="AH2" s="5464"/>
      <c r="AI2" s="5464"/>
      <c r="AJ2" s="5465"/>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76">
        <v>0</v>
      </c>
    </row>
    <row r="3" spans="1:43" ht="23.25" hidden="1" customHeight="1">
      <c r="A3" s="1284"/>
      <c r="B3" s="1284"/>
      <c r="C3" s="1284"/>
      <c r="D3" s="1284"/>
      <c r="E3" s="5470"/>
      <c r="F3" s="5469">
        <v>1</v>
      </c>
      <c r="G3" s="1284"/>
      <c r="H3" s="1284"/>
      <c r="I3" s="1284"/>
      <c r="J3" s="1284"/>
      <c r="K3" s="1284"/>
      <c r="L3" s="1285"/>
      <c r="M3" s="1286"/>
      <c r="N3" s="1286"/>
      <c r="O3" s="1286"/>
      <c r="P3" s="1374"/>
      <c r="Q3" s="290"/>
      <c r="R3" s="291"/>
      <c r="S3" s="1378" t="e">
        <f>INDEX(PT_DIFFERENTIATION_NUM_TER,MATCH(B3,PT_DIFFERENTIATION_TER_ID,0))</f>
        <v>#N/A</v>
      </c>
      <c r="T3" s="246" t="s">
        <v>490</v>
      </c>
      <c r="U3" s="238"/>
      <c r="V3" s="5463"/>
      <c r="W3" s="5464"/>
      <c r="X3" s="5464"/>
      <c r="Y3" s="5464"/>
      <c r="Z3" s="5464"/>
      <c r="AA3" s="5464"/>
      <c r="AB3" s="5465"/>
      <c r="AC3" s="5463" t="e">
        <f>INDEX(PT_DIFFERENTIATION_TER,MATCH(B3,PT_DIFFERENTIATION_TER_ID,0))</f>
        <v>#N/A</v>
      </c>
      <c r="AD3" s="5464"/>
      <c r="AE3" s="5464"/>
      <c r="AF3" s="5464"/>
      <c r="AG3" s="5464"/>
      <c r="AH3" s="5464"/>
      <c r="AI3" s="5464"/>
      <c r="AJ3" s="5465"/>
      <c r="AK3" s="1179" t="s">
        <v>491</v>
      </c>
      <c r="AM3" s="438"/>
      <c r="AN3" s="438" t="str">
        <f t="shared" si="0"/>
        <v>Территория действия тарифа</v>
      </c>
      <c r="AO3" s="438"/>
      <c r="AP3" s="438"/>
      <c r="AQ3" s="1076">
        <v>0</v>
      </c>
    </row>
    <row r="4" spans="1:43" ht="23.25" hidden="1" customHeight="1">
      <c r="A4" s="1284"/>
      <c r="B4" s="1284"/>
      <c r="C4" s="1284"/>
      <c r="D4" s="1284"/>
      <c r="E4" s="5470"/>
      <c r="F4" s="5470"/>
      <c r="G4" s="5469">
        <v>1</v>
      </c>
      <c r="H4" s="1284"/>
      <c r="I4" s="1284"/>
      <c r="J4" s="1284"/>
      <c r="K4" s="1284"/>
      <c r="L4" s="1285"/>
      <c r="M4" s="1286"/>
      <c r="N4" s="1286"/>
      <c r="O4" s="1286"/>
      <c r="P4" s="292"/>
      <c r="Q4" s="290"/>
      <c r="R4" s="291"/>
      <c r="S4" s="1378" t="e">
        <f>INDEX(PT_DIFFERENTIATION_NUM_CS,MATCH(C4,PT_DIFFERENTIATION_CS_ID,0))</f>
        <v>#N/A</v>
      </c>
      <c r="T4" s="247" t="s">
        <v>571</v>
      </c>
      <c r="U4" s="238"/>
      <c r="V4" s="5463"/>
      <c r="W4" s="5464"/>
      <c r="X4" s="5464"/>
      <c r="Y4" s="5464"/>
      <c r="Z4" s="5464"/>
      <c r="AA4" s="5464"/>
      <c r="AB4" s="5465"/>
      <c r="AC4" s="5463" t="e">
        <f>INDEX(PT_DIFFERENTIATION_CS,MATCH(C4,PT_DIFFERENTIATION_CS_ID,0))</f>
        <v>#N/A</v>
      </c>
      <c r="AD4" s="5464"/>
      <c r="AE4" s="5464"/>
      <c r="AF4" s="5464"/>
      <c r="AG4" s="5464"/>
      <c r="AH4" s="5464"/>
      <c r="AI4" s="5464"/>
      <c r="AJ4" s="5465"/>
      <c r="AK4" s="1179" t="s">
        <v>572</v>
      </c>
      <c r="AM4" s="438"/>
      <c r="AN4" s="438" t="str">
        <f t="shared" si="0"/>
        <v>Наименование централизованной системы холодного водоснабжения</v>
      </c>
      <c r="AO4" s="438"/>
      <c r="AP4" s="438"/>
      <c r="AQ4" s="1076">
        <v>0</v>
      </c>
    </row>
    <row r="5" spans="1:43" ht="23.25" hidden="1" customHeight="1">
      <c r="A5" s="1284"/>
      <c r="B5" s="1284"/>
      <c r="C5" s="1284"/>
      <c r="D5" s="1284"/>
      <c r="E5" s="5470"/>
      <c r="F5" s="5470"/>
      <c r="G5" s="5470"/>
      <c r="H5" s="5470"/>
      <c r="I5" s="5471" t="e">
        <f>S4&amp;".1"</f>
        <v>#N/A</v>
      </c>
      <c r="J5" s="1284"/>
      <c r="K5" s="1284"/>
      <c r="L5" s="1285"/>
      <c r="P5" s="5473">
        <v>1</v>
      </c>
      <c r="Q5" s="1371"/>
      <c r="R5" s="294"/>
      <c r="S5" s="1378" t="e">
        <f>$I5</f>
        <v>#N/A</v>
      </c>
      <c r="T5" s="223" t="s">
        <v>573</v>
      </c>
      <c r="U5" s="238"/>
      <c r="V5" s="5537"/>
      <c r="W5" s="5538"/>
      <c r="X5" s="5538"/>
      <c r="Y5" s="5538"/>
      <c r="Z5" s="5538"/>
      <c r="AA5" s="5538"/>
      <c r="AB5" s="5539"/>
      <c r="AC5" s="5540"/>
      <c r="AD5" s="5541"/>
      <c r="AE5" s="5541"/>
      <c r="AF5" s="5541"/>
      <c r="AG5" s="5541"/>
      <c r="AH5" s="5541"/>
      <c r="AI5" s="5541"/>
      <c r="AJ5" s="5542"/>
      <c r="AK5" s="1179" t="s">
        <v>574</v>
      </c>
      <c r="AM5" s="438"/>
      <c r="AN5" s="438" t="str">
        <f t="shared" si="0"/>
        <v>Наименование признака дифференциации</v>
      </c>
      <c r="AO5" s="438"/>
      <c r="AP5" s="438"/>
      <c r="AQ5" s="1076">
        <v>0</v>
      </c>
    </row>
    <row r="6" spans="1:43" ht="23.25" hidden="1" customHeight="1">
      <c r="A6" s="1284"/>
      <c r="B6" s="1284"/>
      <c r="C6" s="1284"/>
      <c r="D6" s="1284"/>
      <c r="E6" s="5470"/>
      <c r="F6" s="5470"/>
      <c r="G6" s="5470"/>
      <c r="H6" s="5470"/>
      <c r="I6" s="5472"/>
      <c r="J6" s="5471" t="e">
        <f>I5&amp;".1"</f>
        <v>#N/A</v>
      </c>
      <c r="K6" s="1284"/>
      <c r="L6" s="1285" t="s">
        <v>499</v>
      </c>
      <c r="P6" s="5473"/>
      <c r="Q6" s="5473">
        <v>1</v>
      </c>
      <c r="R6" s="295"/>
      <c r="S6" s="1378" t="e">
        <f>$J6</f>
        <v>#N/A</v>
      </c>
      <c r="T6" s="224" t="s">
        <v>500</v>
      </c>
      <c r="U6" s="238"/>
      <c r="V6" s="5457"/>
      <c r="W6" s="5458"/>
      <c r="X6" s="5458"/>
      <c r="Y6" s="5458"/>
      <c r="Z6" s="5458"/>
      <c r="AA6" s="5458"/>
      <c r="AB6" s="5459"/>
      <c r="AC6" s="5457"/>
      <c r="AD6" s="5458"/>
      <c r="AE6" s="5458"/>
      <c r="AF6" s="5458"/>
      <c r="AG6" s="5458"/>
      <c r="AH6" s="5458"/>
      <c r="AI6" s="5458"/>
      <c r="AJ6" s="5459"/>
      <c r="AK6" s="1228" t="s">
        <v>575</v>
      </c>
      <c r="AM6" s="438"/>
      <c r="AN6" s="438" t="str">
        <f t="shared" si="0"/>
        <v>Группа потребителей</v>
      </c>
      <c r="AO6" s="438"/>
      <c r="AP6" s="438"/>
      <c r="AQ6" s="1076">
        <v>0</v>
      </c>
    </row>
    <row r="7" spans="1:43" ht="23.25" hidden="1" customHeight="1">
      <c r="A7" s="1284"/>
      <c r="B7" s="1284"/>
      <c r="C7" s="1284"/>
      <c r="D7" s="1284"/>
      <c r="E7" s="5470"/>
      <c r="F7" s="5470"/>
      <c r="G7" s="5470"/>
      <c r="H7" s="5470"/>
      <c r="I7" s="5472"/>
      <c r="J7" s="5472"/>
      <c r="K7" s="5471" t="e">
        <f>J6&amp;".1"</f>
        <v>#N/A</v>
      </c>
      <c r="L7" s="1285"/>
      <c r="P7" s="5473"/>
      <c r="Q7" s="5473"/>
      <c r="R7" s="295">
        <v>1</v>
      </c>
      <c r="S7" s="1378" t="e">
        <f>$K7</f>
        <v>#N/A</v>
      </c>
      <c r="T7" s="1358"/>
      <c r="U7" s="238"/>
      <c r="V7" s="689"/>
      <c r="W7" s="689"/>
      <c r="X7" s="1178"/>
      <c r="Y7" s="5474"/>
      <c r="Z7" s="5338" t="s">
        <v>66</v>
      </c>
      <c r="AA7" s="5474"/>
      <c r="AB7" s="5338" t="s">
        <v>66</v>
      </c>
      <c r="AC7" s="689"/>
      <c r="AD7" s="689"/>
      <c r="AE7" s="1178"/>
      <c r="AF7" s="5474"/>
      <c r="AG7" s="5338" t="s">
        <v>66</v>
      </c>
      <c r="AH7" s="5476"/>
      <c r="AI7" s="5338" t="s">
        <v>66</v>
      </c>
      <c r="AJ7" s="1359"/>
      <c r="AK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76">
        <v>0</v>
      </c>
    </row>
    <row r="8" spans="1:43" ht="14.25" hidden="1" customHeight="1">
      <c r="A8" s="1284"/>
      <c r="B8" s="1284"/>
      <c r="C8" s="1284"/>
      <c r="D8" s="1284"/>
      <c r="E8" s="5470"/>
      <c r="F8" s="5470"/>
      <c r="G8" s="5470"/>
      <c r="H8" s="5470"/>
      <c r="I8" s="5472"/>
      <c r="J8" s="5472"/>
      <c r="K8" s="5471"/>
      <c r="L8" s="1285"/>
      <c r="P8" s="5473"/>
      <c r="Q8" s="5473"/>
      <c r="R8" s="295"/>
      <c r="S8" s="1377"/>
      <c r="T8" s="238"/>
      <c r="U8" s="238"/>
      <c r="V8" s="263"/>
      <c r="W8" s="263"/>
      <c r="X8" s="266" t="str">
        <f>Y7&amp;"-"&amp;AA7</f>
        <v>-</v>
      </c>
      <c r="Y8" s="5475"/>
      <c r="Z8" s="5338"/>
      <c r="AA8" s="5475"/>
      <c r="AB8" s="5338"/>
      <c r="AC8" s="263"/>
      <c r="AD8" s="263"/>
      <c r="AE8" s="266" t="str">
        <f>AF7&amp;"-"&amp;AH7</f>
        <v>-</v>
      </c>
      <c r="AF8" s="5475"/>
      <c r="AG8" s="5338"/>
      <c r="AH8" s="5477"/>
      <c r="AI8" s="5338"/>
      <c r="AJ8" s="1360"/>
      <c r="AK8" s="5543"/>
      <c r="AM8" s="438"/>
      <c r="AN8" s="438" t="str">
        <f t="shared" si="0"/>
        <v/>
      </c>
      <c r="AO8" s="438"/>
      <c r="AP8" s="438"/>
      <c r="AQ8" s="1076">
        <v>0</v>
      </c>
    </row>
    <row r="9" spans="1:43" ht="21" hidden="1" customHeight="1">
      <c r="A9" s="1284"/>
      <c r="B9" s="1284"/>
      <c r="C9" s="1284"/>
      <c r="D9" s="1284"/>
      <c r="E9" s="5470"/>
      <c r="F9" s="5470"/>
      <c r="G9" s="5470"/>
      <c r="H9" s="5470"/>
      <c r="I9" s="5472"/>
      <c r="J9" s="5471"/>
      <c r="K9" s="1284"/>
      <c r="L9" s="1285"/>
      <c r="P9" s="5473"/>
      <c r="Q9" s="5473"/>
      <c r="R9" s="294"/>
      <c r="S9" s="1199"/>
      <c r="T9" s="225" t="s">
        <v>576</v>
      </c>
      <c r="U9" s="305"/>
      <c r="V9" s="305"/>
      <c r="W9" s="305"/>
      <c r="X9" s="305"/>
      <c r="Y9" s="305"/>
      <c r="Z9" s="305"/>
      <c r="AA9" s="305"/>
      <c r="AB9" s="305"/>
      <c r="AC9" s="305"/>
      <c r="AD9" s="305"/>
      <c r="AE9" s="305"/>
      <c r="AF9" s="305"/>
      <c r="AG9" s="305"/>
      <c r="AH9" s="305"/>
      <c r="AI9" s="305"/>
      <c r="AJ9" s="305"/>
      <c r="AK9" s="1179" t="s">
        <v>577</v>
      </c>
      <c r="AM9" s="438"/>
      <c r="AN9" s="438" t="str">
        <f t="shared" si="0"/>
        <v>Добавить значение признака дифференциации</v>
      </c>
      <c r="AO9" s="438"/>
      <c r="AP9" s="438"/>
      <c r="AQ9" s="1076">
        <v>0</v>
      </c>
    </row>
    <row r="10" spans="1:43" ht="21" hidden="1" customHeight="1">
      <c r="A10" s="1284"/>
      <c r="B10" s="1284"/>
      <c r="C10" s="1284"/>
      <c r="D10" s="1284"/>
      <c r="E10" s="5470"/>
      <c r="F10" s="5470"/>
      <c r="G10" s="5470"/>
      <c r="H10" s="5470"/>
      <c r="I10" s="5471"/>
      <c r="J10" s="1284"/>
      <c r="K10" s="1284"/>
      <c r="L10" s="1285"/>
      <c r="P10" s="5473"/>
      <c r="Q10" s="1371"/>
      <c r="R10" s="294"/>
      <c r="S10" s="1199"/>
      <c r="T10" s="303" t="s">
        <v>505</v>
      </c>
      <c r="U10" s="305"/>
      <c r="V10" s="305"/>
      <c r="W10" s="305"/>
      <c r="X10" s="305"/>
      <c r="Y10" s="305"/>
      <c r="Z10" s="305"/>
      <c r="AA10" s="305"/>
      <c r="AB10" s="304"/>
      <c r="AC10" s="305"/>
      <c r="AD10" s="305"/>
      <c r="AE10" s="305"/>
      <c r="AF10" s="305"/>
      <c r="AG10" s="305"/>
      <c r="AH10" s="305"/>
      <c r="AI10" s="304"/>
      <c r="AJ10" s="305"/>
      <c r="AK10" s="1361"/>
      <c r="AM10" s="438"/>
      <c r="AN10" s="438" t="str">
        <f t="shared" si="0"/>
        <v>Добавить группу потребителей</v>
      </c>
      <c r="AO10" s="438"/>
      <c r="AP10" s="438"/>
      <c r="AQ10" s="1076">
        <v>0</v>
      </c>
    </row>
    <row r="11" spans="1:43" ht="21" hidden="1" customHeight="1">
      <c r="A11" s="1284"/>
      <c r="B11" s="1284"/>
      <c r="C11" s="1284"/>
      <c r="D11" s="1284"/>
      <c r="E11" s="5470"/>
      <c r="F11" s="5470"/>
      <c r="G11" s="5470"/>
      <c r="H11" s="5469"/>
      <c r="I11" s="1284"/>
      <c r="J11" s="1284"/>
      <c r="K11" s="1284"/>
      <c r="L11" s="1285"/>
      <c r="M11" s="1286"/>
      <c r="N11" s="1286"/>
      <c r="O11" s="475"/>
      <c r="P11" s="298"/>
      <c r="Q11" s="313"/>
      <c r="R11" s="293"/>
      <c r="S11" s="1199"/>
      <c r="T11" s="310" t="s">
        <v>578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76">
        <v>0</v>
      </c>
    </row>
    <row r="12" spans="1:43" s="4275" customFormat="1" ht="14.25" hidden="1" customHeight="1">
      <c r="A12" s="1264"/>
      <c r="B12" s="1264"/>
      <c r="C12" s="1235"/>
      <c r="D12" s="1235"/>
      <c r="E12" s="5470"/>
      <c r="F12" s="5469"/>
      <c r="G12" s="1235"/>
      <c r="H12" s="1235"/>
      <c r="I12" s="1235"/>
      <c r="J12" s="1235"/>
      <c r="K12" s="1235"/>
      <c r="L12" s="1379"/>
      <c r="M12" s="1242"/>
      <c r="N12" s="1242"/>
      <c r="P12" s="1237"/>
      <c r="Q12" s="1238"/>
      <c r="R12" s="1237"/>
      <c r="S12" s="1243"/>
      <c r="T12" s="1246" t="s">
        <v>312</v>
      </c>
      <c r="U12" s="1245"/>
      <c r="V12" s="1245"/>
      <c r="W12" s="1245"/>
      <c r="X12" s="1245"/>
      <c r="Y12" s="1245"/>
      <c r="Z12" s="1245"/>
      <c r="AA12" s="1245"/>
      <c r="AB12" s="1245"/>
      <c r="AC12" s="1245"/>
      <c r="AD12" s="1245"/>
      <c r="AE12" s="1245"/>
      <c r="AF12" s="1245"/>
      <c r="AG12" s="1245"/>
      <c r="AH12" s="1245"/>
      <c r="AI12" s="1245"/>
      <c r="AJ12" s="1245"/>
      <c r="AK12" s="1245"/>
      <c r="AM12" s="721"/>
      <c r="AN12" s="721" t="str">
        <f t="shared" si="0"/>
        <v>Добавить централизованную систему для дифференциации</v>
      </c>
      <c r="AO12" s="721"/>
      <c r="AP12" s="721"/>
      <c r="AQ12" s="456">
        <v>0</v>
      </c>
    </row>
    <row r="13" spans="1:43" s="4275" customFormat="1" ht="14.25" hidden="1" customHeight="1">
      <c r="A13" s="1264"/>
      <c r="B13" s="1264"/>
      <c r="C13" s="1264"/>
      <c r="D13" s="1264"/>
      <c r="E13" s="5469"/>
      <c r="F13" s="1264"/>
      <c r="G13" s="1264"/>
      <c r="H13" s="1264"/>
      <c r="I13" s="1264"/>
      <c r="J13" s="1264"/>
      <c r="K13" s="1264"/>
      <c r="L13" s="1267"/>
      <c r="M13" s="1242"/>
      <c r="N13" s="1242"/>
      <c r="O13" s="456"/>
      <c r="P13" s="318"/>
      <c r="Q13" s="1265"/>
      <c r="R13" s="318"/>
      <c r="S13" s="1243"/>
      <c r="T13" s="1246" t="s">
        <v>360</v>
      </c>
      <c r="U13" s="1245"/>
      <c r="V13" s="1245"/>
      <c r="W13" s="1245"/>
      <c r="X13" s="1245"/>
      <c r="Y13" s="1245"/>
      <c r="Z13" s="1245"/>
      <c r="AA13" s="1245"/>
      <c r="AB13" s="1245"/>
      <c r="AC13" s="1245"/>
      <c r="AD13" s="1245"/>
      <c r="AE13" s="1245"/>
      <c r="AF13" s="1245"/>
      <c r="AG13" s="1245"/>
      <c r="AH13" s="1245"/>
      <c r="AI13" s="1245"/>
      <c r="AJ13" s="1245"/>
      <c r="AK13" s="1245"/>
      <c r="AM13" s="438"/>
      <c r="AN13" s="438" t="str">
        <f t="shared" si="0"/>
        <v>Добавить территорию для дифференциации</v>
      </c>
      <c r="AO13" s="438"/>
      <c r="AP13" s="438"/>
      <c r="AQ13" s="449">
        <v>0</v>
      </c>
    </row>
    <row r="14" spans="1:43" ht="14.25" hidden="1" customHeight="1">
      <c r="AB14" s="265"/>
      <c r="AI14" s="265"/>
      <c r="AQ14" s="1076">
        <v>0</v>
      </c>
    </row>
    <row r="15" spans="1:43" ht="14.25" hidden="1" customHeight="1">
      <c r="AC15" s="1281"/>
      <c r="AD15" s="1281"/>
      <c r="AE15" s="1282"/>
      <c r="AF15" s="5467"/>
      <c r="AG15" s="5466" t="s">
        <v>66</v>
      </c>
      <c r="AH15" s="5467"/>
      <c r="AI15" s="5466" t="s">
        <v>66</v>
      </c>
      <c r="AQ15" s="1076">
        <v>0</v>
      </c>
    </row>
    <row r="16" spans="1:43" ht="14.25" hidden="1" customHeight="1">
      <c r="AC16" s="1281"/>
      <c r="AD16" s="1281"/>
      <c r="AE16" s="266" t="str">
        <f>AF15&amp;"-"&amp;AH15</f>
        <v>-</v>
      </c>
      <c r="AF16" s="5466"/>
      <c r="AG16" s="5466"/>
      <c r="AH16" s="5466"/>
      <c r="AI16" s="5466"/>
      <c r="AQ16" s="1076">
        <v>0</v>
      </c>
    </row>
    <row r="17" spans="1:43" ht="14.25" hidden="1" customHeight="1">
      <c r="AI17" s="265"/>
      <c r="AQ17" s="1076">
        <v>0</v>
      </c>
    </row>
    <row r="18" spans="1:43" s="4274" customFormat="1" ht="22.5" hidden="1" customHeight="1">
      <c r="L18" s="1368"/>
      <c r="M18" s="1283"/>
      <c r="N18" s="1283"/>
      <c r="O18" s="1288" t="s">
        <v>508</v>
      </c>
      <c r="P18" s="1283"/>
      <c r="Q18" s="1292"/>
      <c r="R18" s="1292"/>
      <c r="S18" s="667"/>
      <c r="Y18" s="1288"/>
      <c r="AA18" s="1288"/>
      <c r="AB18" s="1287"/>
      <c r="AF18" s="1288"/>
      <c r="AH18" s="1288"/>
      <c r="AI18" s="1287"/>
      <c r="AL18" s="449"/>
      <c r="AM18" s="449"/>
      <c r="AN18" s="449"/>
      <c r="AO18" s="449"/>
      <c r="AP18" s="449"/>
      <c r="AQ18" s="1081">
        <v>0</v>
      </c>
    </row>
    <row r="19" spans="1:43" s="4274" customFormat="1" ht="14.25" hidden="1" customHeight="1">
      <c r="L19" s="1368"/>
      <c r="M19" s="1283"/>
      <c r="N19" s="1283"/>
      <c r="O19" s="1283"/>
      <c r="P19" s="1283"/>
      <c r="Q19" s="1292"/>
      <c r="R19" s="1292"/>
      <c r="S19" s="667"/>
      <c r="AB19" s="1287"/>
      <c r="AI19" s="1287"/>
      <c r="AL19" s="449"/>
      <c r="AM19" s="449"/>
      <c r="AN19" s="449"/>
      <c r="AO19" s="449"/>
      <c r="AP19" s="449"/>
      <c r="AQ19" s="1081">
        <v>0</v>
      </c>
    </row>
    <row r="20" spans="1:43" s="4274" customFormat="1" ht="12" hidden="1" customHeight="1">
      <c r="L20" s="1368"/>
      <c r="M20" s="1283"/>
      <c r="N20" s="1283"/>
      <c r="O20" s="1285" t="s">
        <v>509</v>
      </c>
      <c r="P20" s="1283"/>
      <c r="Q20" s="1363"/>
      <c r="R20" s="1363"/>
      <c r="S20" s="667"/>
      <c r="T20" s="1081" t="s">
        <v>510</v>
      </c>
      <c r="Z20" s="124" t="s">
        <v>511</v>
      </c>
      <c r="AB20" s="124" t="s">
        <v>512</v>
      </c>
      <c r="AC20" s="1081" t="s">
        <v>510</v>
      </c>
      <c r="AG20" s="124" t="s">
        <v>513</v>
      </c>
      <c r="AI20" s="124" t="s">
        <v>512</v>
      </c>
      <c r="AQ20" s="1081">
        <v>0</v>
      </c>
    </row>
    <row r="21" spans="1:43" ht="14.25" hidden="1" customHeight="1">
      <c r="O21" s="1285"/>
      <c r="AQ21" s="1076">
        <v>0</v>
      </c>
    </row>
    <row r="22" spans="1:43" ht="14.25" hidden="1" customHeight="1">
      <c r="O22" s="1285"/>
      <c r="AQ22" s="1076">
        <v>0</v>
      </c>
    </row>
    <row r="23" spans="1:43" ht="14.65" customHeight="1">
      <c r="Q23" s="314"/>
      <c r="R23" s="314"/>
      <c r="S23" s="1196"/>
      <c r="T23" s="301"/>
      <c r="U23" s="301"/>
      <c r="V23" s="447"/>
      <c r="W23" s="447"/>
      <c r="X23" s="447"/>
      <c r="Y23" s="447"/>
      <c r="Z23" s="447"/>
      <c r="AA23" s="447"/>
      <c r="AB23" s="447"/>
      <c r="AC23" s="447"/>
      <c r="AD23" s="447"/>
      <c r="AE23" s="447"/>
      <c r="AF23" s="447"/>
      <c r="AG23" s="447"/>
      <c r="AH23" s="447"/>
      <c r="AI23" s="447"/>
      <c r="AQ23" s="1076">
        <v>14</v>
      </c>
    </row>
    <row r="24" spans="1:43" ht="14.65" customHeight="1">
      <c r="Q24" s="314"/>
      <c r="R24" s="314"/>
      <c r="S24" s="54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450"/>
      <c r="U24" s="5450"/>
      <c r="V24" s="5450"/>
      <c r="W24" s="5450"/>
      <c r="X24" s="5450"/>
      <c r="Y24" s="5450"/>
      <c r="Z24" s="5450"/>
      <c r="AA24" s="5450"/>
      <c r="AB24" s="5450"/>
      <c r="AC24" s="5450"/>
      <c r="AD24" s="5450"/>
      <c r="AE24" s="5450"/>
      <c r="AF24" s="5450"/>
      <c r="AG24" s="5450"/>
      <c r="AH24" s="5450"/>
      <c r="AI24" s="1164"/>
      <c r="AQ24" s="1076">
        <v>14</v>
      </c>
    </row>
    <row r="25" spans="1:43" ht="14.65" customHeight="1">
      <c r="Q25" s="314"/>
      <c r="R25" s="314"/>
      <c r="S25" s="5423" t="str">
        <f>IF(org=0,"Не определено",org)</f>
        <v>КГУП "Примтеплоэнерго"</v>
      </c>
      <c r="T25" s="5423"/>
      <c r="U25" s="5423"/>
      <c r="V25" s="5423"/>
      <c r="W25" s="5423"/>
      <c r="X25" s="5423"/>
      <c r="Y25" s="5423"/>
      <c r="Z25" s="5423"/>
      <c r="AA25" s="5423"/>
      <c r="AB25" s="5423"/>
      <c r="AC25" s="5423"/>
      <c r="AD25" s="5423"/>
      <c r="AE25" s="5423"/>
      <c r="AF25" s="5423"/>
      <c r="AG25" s="5423"/>
      <c r="AH25" s="5423"/>
      <c r="AI25" s="1164"/>
      <c r="AQ25" s="1076">
        <v>14</v>
      </c>
    </row>
    <row r="26" spans="1:43" ht="14.25" hidden="1" customHeight="1">
      <c r="Q26" s="314"/>
      <c r="R26" s="314"/>
      <c r="S26" s="1196"/>
      <c r="T26" s="301"/>
      <c r="U26" s="301"/>
      <c r="V26" s="260"/>
      <c r="W26" s="260"/>
      <c r="X26" s="260"/>
      <c r="Y26" s="260"/>
      <c r="Z26" s="260"/>
      <c r="AA26" s="260"/>
      <c r="AB26" s="260"/>
      <c r="AC26" s="260"/>
      <c r="AD26" s="260"/>
      <c r="AE26" s="260"/>
      <c r="AF26" s="260"/>
      <c r="AG26" s="260"/>
      <c r="AH26" s="260"/>
      <c r="AI26" s="260"/>
      <c r="AJ26" s="447"/>
      <c r="AQ26" s="1076">
        <v>0</v>
      </c>
    </row>
    <row r="27" spans="1:43" s="4284" customFormat="1" ht="25.5" hidden="1" customHeight="1">
      <c r="A27" s="1289"/>
      <c r="B27" s="1289"/>
      <c r="C27" s="1289"/>
      <c r="D27" s="1289"/>
      <c r="E27" s="1289"/>
      <c r="F27" s="1289"/>
      <c r="G27" s="1289"/>
      <c r="H27" s="1289"/>
      <c r="I27" s="1289"/>
      <c r="J27" s="1289"/>
      <c r="K27" s="1289"/>
      <c r="L27" s="1290"/>
      <c r="M27" s="1289"/>
      <c r="N27" s="1289"/>
      <c r="O27" s="1289"/>
      <c r="S27" s="5460" t="s">
        <v>42</v>
      </c>
      <c r="T27" s="5460"/>
      <c r="U27" s="1293"/>
      <c r="V27" s="5462" t="str">
        <f>IF(TITLE_NAME_OR_PR_CHANGE="",IF(TITLE_NAME_OR_PR="","",TITLE_NAME_OR_PR),TITLE_NAME_OR_PR_CHANGE)</f>
        <v/>
      </c>
      <c r="W27" s="5462"/>
      <c r="X27" s="5462"/>
      <c r="Y27" s="5462"/>
      <c r="Z27" s="5462"/>
      <c r="AA27" s="5462"/>
      <c r="AB27" s="264"/>
      <c r="AC27" s="5462" t="str">
        <f>IF(TITLE_NAME_OR_PR_CHANGE="",IF(TITLE_NAME_OR_PR="","",TITLE_NAME_OR_PR),TITLE_NAME_OR_PR_CHANGE)</f>
        <v/>
      </c>
      <c r="AD27" s="5462"/>
      <c r="AE27" s="5462"/>
      <c r="AF27" s="5462"/>
      <c r="AG27" s="5462"/>
      <c r="AH27" s="5462"/>
      <c r="AI27" s="264"/>
      <c r="AJ27" s="264"/>
      <c r="AK27" s="218"/>
      <c r="AL27" s="306"/>
      <c r="AM27" s="306"/>
      <c r="AN27" s="306"/>
      <c r="AO27" s="306"/>
      <c r="AP27" s="306"/>
      <c r="AQ27" s="356">
        <v>0</v>
      </c>
    </row>
    <row r="28" spans="1:43" s="4284" customFormat="1" ht="18.75" hidden="1" customHeight="1">
      <c r="A28" s="1289"/>
      <c r="B28" s="1289"/>
      <c r="C28" s="1289"/>
      <c r="D28" s="1289"/>
      <c r="E28" s="1289"/>
      <c r="F28" s="1289"/>
      <c r="G28" s="1289"/>
      <c r="H28" s="1289"/>
      <c r="I28" s="1289"/>
      <c r="J28" s="1289"/>
      <c r="K28" s="1289"/>
      <c r="L28" s="1290"/>
      <c r="M28" s="1289"/>
      <c r="N28" s="1289"/>
      <c r="O28" s="1289"/>
      <c r="S28" s="5460" t="s">
        <v>514</v>
      </c>
      <c r="T28" s="5460"/>
      <c r="U28" s="1293"/>
      <c r="V28" s="5461">
        <f>IF(TITLE_DATE_PR_CHANGE="",IF(TITLE_DATE_PR="","",TITLE_DATE_PR),TITLE_DATE_PR_CHANGE)</f>
        <v>45649.605891203704</v>
      </c>
      <c r="W28" s="5461"/>
      <c r="X28" s="5461"/>
      <c r="Y28" s="5461"/>
      <c r="Z28" s="5461"/>
      <c r="AA28" s="5461"/>
      <c r="AB28" s="264"/>
      <c r="AC28" s="5461">
        <f>IF(TITLE_DATE_PR_CHANGE="",IF(TITLE_DATE_PR="","",TITLE_DATE_PR),TITLE_DATE_PR_CHANGE)</f>
        <v>45649.605891203704</v>
      </c>
      <c r="AD28" s="5461"/>
      <c r="AE28" s="5461"/>
      <c r="AF28" s="5461"/>
      <c r="AG28" s="5461"/>
      <c r="AH28" s="5461"/>
      <c r="AI28" s="264"/>
      <c r="AJ28" s="264"/>
      <c r="AK28" s="218"/>
      <c r="AL28" s="306"/>
      <c r="AM28" s="306"/>
      <c r="AN28" s="306"/>
      <c r="AO28" s="306"/>
      <c r="AP28" s="306"/>
      <c r="AQ28" s="356">
        <v>0</v>
      </c>
    </row>
    <row r="29" spans="1:43" s="4284" customFormat="1" ht="18.75" hidden="1" customHeight="1">
      <c r="A29" s="1289"/>
      <c r="B29" s="1289"/>
      <c r="C29" s="1289"/>
      <c r="D29" s="1289"/>
      <c r="E29" s="1289"/>
      <c r="F29" s="1289"/>
      <c r="G29" s="1289"/>
      <c r="H29" s="1289"/>
      <c r="I29" s="1289"/>
      <c r="J29" s="1289"/>
      <c r="K29" s="1289"/>
      <c r="L29" s="1290"/>
      <c r="M29" s="1289"/>
      <c r="N29" s="1289"/>
      <c r="O29" s="1289"/>
      <c r="S29" s="5460" t="s">
        <v>515</v>
      </c>
      <c r="T29" s="5460"/>
      <c r="U29" s="1293"/>
      <c r="V29" s="5462" t="str">
        <f>IF(TITLE_NUMBER_PR_CHANGE="",IF(TITLE_NUMBER_PR="","",TITLE_NUMBER_PR),TITLE_NUMBER_PR_CHANGE)</f>
        <v>27-6414</v>
      </c>
      <c r="W29" s="5462"/>
      <c r="X29" s="5462"/>
      <c r="Y29" s="5462"/>
      <c r="Z29" s="5462"/>
      <c r="AA29" s="5462"/>
      <c r="AB29" s="264"/>
      <c r="AC29" s="5462" t="str">
        <f>IF(TITLE_NUMBER_PR_CHANGE="",IF(TITLE_NUMBER_PR="","",TITLE_NUMBER_PR),TITLE_NUMBER_PR_CHANGE)</f>
        <v>27-6414</v>
      </c>
      <c r="AD29" s="5462"/>
      <c r="AE29" s="5462"/>
      <c r="AF29" s="5462"/>
      <c r="AG29" s="5462"/>
      <c r="AH29" s="5462"/>
      <c r="AI29" s="264"/>
      <c r="AJ29" s="264"/>
      <c r="AK29" s="218"/>
      <c r="AL29" s="306"/>
      <c r="AM29" s="306"/>
      <c r="AN29" s="306"/>
      <c r="AO29" s="306"/>
      <c r="AP29" s="306"/>
      <c r="AQ29" s="356">
        <v>0</v>
      </c>
    </row>
    <row r="30" spans="1:43" s="4284" customFormat="1" ht="18.75" hidden="1" customHeight="1">
      <c r="A30" s="1289"/>
      <c r="B30" s="1289"/>
      <c r="C30" s="1289"/>
      <c r="D30" s="1289"/>
      <c r="E30" s="1289"/>
      <c r="F30" s="1289"/>
      <c r="G30" s="1289"/>
      <c r="H30" s="1289"/>
      <c r="I30" s="1289"/>
      <c r="J30" s="1289"/>
      <c r="K30" s="1289"/>
      <c r="L30" s="1290"/>
      <c r="M30" s="1289"/>
      <c r="N30" s="1289"/>
      <c r="O30" s="1289"/>
      <c r="S30" s="5460" t="s">
        <v>43</v>
      </c>
      <c r="T30" s="5460"/>
      <c r="U30" s="1293"/>
      <c r="V30" s="5462" t="str">
        <f>IF(TITLE_IST_PUB_CHANGE="",IF(TITLE_IST_PUB="","",TITLE_IST_PUB),TITLE_IST_PUB_CHANGE)</f>
        <v/>
      </c>
      <c r="W30" s="5462"/>
      <c r="X30" s="5462"/>
      <c r="Y30" s="5462"/>
      <c r="Z30" s="5462"/>
      <c r="AA30" s="5462"/>
      <c r="AB30" s="264"/>
      <c r="AC30" s="5462" t="str">
        <f>IF(TITLE_IST_PUB_CHANGE="",IF(TITLE_IST_PUB="","",TITLE_IST_PUB),TITLE_IST_PUB_CHANGE)</f>
        <v/>
      </c>
      <c r="AD30" s="5462"/>
      <c r="AE30" s="5462"/>
      <c r="AF30" s="5462"/>
      <c r="AG30" s="5462"/>
      <c r="AH30" s="5462"/>
      <c r="AI30" s="264"/>
      <c r="AJ30" s="264"/>
      <c r="AK30" s="218"/>
      <c r="AL30" s="306"/>
      <c r="AM30" s="306"/>
      <c r="AN30" s="306"/>
      <c r="AO30" s="306"/>
      <c r="AP30" s="306"/>
      <c r="AQ30" s="356">
        <v>0</v>
      </c>
    </row>
    <row r="31" spans="1:43" ht="14.25" customHeight="1">
      <c r="Q31" s="314"/>
      <c r="R31" s="314"/>
      <c r="S31" s="1196"/>
      <c r="T31" s="301"/>
      <c r="U31" s="301"/>
      <c r="V31" s="260"/>
      <c r="W31" s="260"/>
      <c r="X31" s="260"/>
      <c r="Y31" s="260"/>
      <c r="Z31" s="260"/>
      <c r="AA31" s="260"/>
      <c r="AB31" s="260"/>
      <c r="AC31" s="260"/>
      <c r="AD31" s="260"/>
      <c r="AE31" s="260"/>
      <c r="AF31" s="260"/>
      <c r="AG31" s="260"/>
      <c r="AH31" s="260"/>
      <c r="AI31" s="260"/>
      <c r="AJ31" s="447"/>
      <c r="AQ31" s="1076">
        <v>0</v>
      </c>
    </row>
    <row r="32" spans="1:43" s="4284" customFormat="1" ht="18.75" customHeight="1">
      <c r="A32" s="1289"/>
      <c r="B32" s="1289"/>
      <c r="C32" s="1289"/>
      <c r="D32" s="1289"/>
      <c r="E32" s="1289"/>
      <c r="F32" s="1289"/>
      <c r="G32" s="1289"/>
      <c r="H32" s="1289"/>
      <c r="I32" s="1289"/>
      <c r="J32" s="1289"/>
      <c r="K32" s="1289"/>
      <c r="L32" s="1290"/>
      <c r="M32" s="1289"/>
      <c r="N32" s="1289"/>
      <c r="O32" s="1289"/>
      <c r="S32" s="5460" t="s">
        <v>516</v>
      </c>
      <c r="T32" s="5460"/>
      <c r="U32" s="1293"/>
      <c r="V32" s="5461">
        <f>IF(TITLE_DATE_PR_CHANGE="",IF(TITLE_DATE_PR="","",TITLE_DATE_PR),TITLE_DATE_PR_CHANGE)</f>
        <v>45649.605891203704</v>
      </c>
      <c r="W32" s="5461"/>
      <c r="X32" s="5461"/>
      <c r="Y32" s="5461"/>
      <c r="Z32" s="5461"/>
      <c r="AA32" s="5461"/>
      <c r="AB32" s="264"/>
      <c r="AC32" s="5461">
        <f>IF(TITLE_DATE_PR_CHANGE="",IF(TITLE_DATE_PR="","",TITLE_DATE_PR),TITLE_DATE_PR_CHANGE)</f>
        <v>45649.605891203704</v>
      </c>
      <c r="AD32" s="5461"/>
      <c r="AE32" s="5461"/>
      <c r="AF32" s="5461"/>
      <c r="AG32" s="5461"/>
      <c r="AH32" s="5461"/>
      <c r="AI32" s="264"/>
      <c r="AJ32" s="264"/>
      <c r="AK32" s="218"/>
      <c r="AL32" s="306"/>
      <c r="AM32" s="306"/>
      <c r="AN32" s="306"/>
      <c r="AO32" s="306"/>
      <c r="AP32" s="306"/>
      <c r="AQ32" s="356">
        <v>0</v>
      </c>
    </row>
    <row r="33" spans="1:43" s="4284" customFormat="1" ht="18.75" customHeight="1">
      <c r="A33" s="1289"/>
      <c r="B33" s="1289"/>
      <c r="C33" s="1289"/>
      <c r="D33" s="1289"/>
      <c r="E33" s="1289"/>
      <c r="F33" s="1289"/>
      <c r="G33" s="1289"/>
      <c r="H33" s="1289"/>
      <c r="I33" s="1289"/>
      <c r="J33" s="1289"/>
      <c r="K33" s="1289"/>
      <c r="L33" s="1290"/>
      <c r="M33" s="1289"/>
      <c r="N33" s="1289"/>
      <c r="O33" s="1289"/>
      <c r="S33" s="5460" t="s">
        <v>517</v>
      </c>
      <c r="T33" s="5460"/>
      <c r="U33" s="1293"/>
      <c r="V33" s="5462" t="str">
        <f>IF(TITLE_NUMBER_PR_CHANGE="",IF(TITLE_NUMBER_PR="","",TITLE_NUMBER_PR),TITLE_NUMBER_PR_CHANGE)</f>
        <v>27-6414</v>
      </c>
      <c r="W33" s="5462"/>
      <c r="X33" s="5462"/>
      <c r="Y33" s="5462"/>
      <c r="Z33" s="5462"/>
      <c r="AA33" s="5462"/>
      <c r="AB33" s="264"/>
      <c r="AC33" s="5462" t="str">
        <f>IF(TITLE_NUMBER_PR_CHANGE="",IF(TITLE_NUMBER_PR="","",TITLE_NUMBER_PR),TITLE_NUMBER_PR_CHANGE)</f>
        <v>27-6414</v>
      </c>
      <c r="AD33" s="5462"/>
      <c r="AE33" s="5462"/>
      <c r="AF33" s="5462"/>
      <c r="AG33" s="5462"/>
      <c r="AH33" s="5462"/>
      <c r="AI33" s="264"/>
      <c r="AJ33" s="264"/>
      <c r="AK33" s="218"/>
      <c r="AL33" s="306"/>
      <c r="AM33" s="306"/>
      <c r="AN33" s="306"/>
      <c r="AO33" s="306"/>
      <c r="AP33" s="306"/>
      <c r="AQ33" s="356">
        <v>0</v>
      </c>
    </row>
    <row r="34" spans="1:43" s="4284" customFormat="1" ht="1.1499999999999999" customHeight="1">
      <c r="A34" s="1289"/>
      <c r="B34" s="1289"/>
      <c r="C34" s="1289"/>
      <c r="D34" s="1289"/>
      <c r="E34" s="1289"/>
      <c r="F34" s="1289"/>
      <c r="G34" s="1289"/>
      <c r="H34" s="1289"/>
      <c r="I34" s="1289"/>
      <c r="J34" s="1289"/>
      <c r="K34" s="1289"/>
      <c r="L34" s="1290"/>
      <c r="M34" s="1289"/>
      <c r="N34" s="1289"/>
      <c r="O34" s="1289"/>
      <c r="S34" s="261"/>
      <c r="T34" s="261"/>
      <c r="U34" s="1375"/>
      <c r="V34" s="264"/>
      <c r="W34" s="264"/>
      <c r="X34" s="264"/>
      <c r="Y34" s="264"/>
      <c r="Z34" s="264"/>
      <c r="AA34" s="264"/>
      <c r="AB34" s="216" t="s">
        <v>518</v>
      </c>
      <c r="AC34" s="264"/>
      <c r="AD34" s="264"/>
      <c r="AE34" s="264"/>
      <c r="AF34" s="264"/>
      <c r="AG34" s="264"/>
      <c r="AH34" s="264"/>
      <c r="AI34" s="216" t="s">
        <v>518</v>
      </c>
      <c r="AL34" s="306"/>
      <c r="AM34" s="306"/>
      <c r="AN34" s="306"/>
      <c r="AO34" s="306"/>
      <c r="AP34" s="306"/>
      <c r="AQ34" s="356">
        <v>1</v>
      </c>
    </row>
    <row r="35" spans="1:43" ht="14.65" customHeight="1">
      <c r="Q35" s="314"/>
      <c r="R35" s="314"/>
      <c r="S35" s="1196"/>
      <c r="T35" s="301"/>
      <c r="U35" s="1165"/>
      <c r="V35" s="5481"/>
      <c r="W35" s="5481"/>
      <c r="X35" s="5481"/>
      <c r="Y35" s="5481"/>
      <c r="Z35" s="5481"/>
      <c r="AA35" s="5481"/>
      <c r="AB35" s="5481"/>
      <c r="AC35" s="5481"/>
      <c r="AD35" s="5481"/>
      <c r="AE35" s="5481"/>
      <c r="AF35" s="5481"/>
      <c r="AG35" s="5481"/>
      <c r="AH35" s="5481"/>
      <c r="AI35" s="5481"/>
      <c r="AQ35" s="1076">
        <v>14</v>
      </c>
    </row>
    <row r="36" spans="1:43" ht="14.65" customHeight="1">
      <c r="Q36" s="314"/>
      <c r="R36" s="314"/>
      <c r="S36" s="5328" t="s">
        <v>393</v>
      </c>
      <c r="T36" s="5328"/>
      <c r="U36" s="5328"/>
      <c r="V36" s="5328"/>
      <c r="W36" s="5328"/>
      <c r="X36" s="5328"/>
      <c r="Y36" s="5328"/>
      <c r="Z36" s="5328"/>
      <c r="AA36" s="5328"/>
      <c r="AB36" s="5328"/>
      <c r="AC36" s="5328"/>
      <c r="AD36" s="5328"/>
      <c r="AE36" s="5328"/>
      <c r="AF36" s="5328"/>
      <c r="AG36" s="5328"/>
      <c r="AH36" s="5328"/>
      <c r="AI36" s="5328"/>
      <c r="AJ36" s="5328"/>
      <c r="AK36" s="5328" t="s">
        <v>394</v>
      </c>
      <c r="AQ36" s="1076">
        <v>14</v>
      </c>
    </row>
    <row r="37" spans="1:43" ht="14.65" customHeight="1">
      <c r="Q37" s="314"/>
      <c r="R37" s="314"/>
      <c r="S37" s="5482" t="s">
        <v>88</v>
      </c>
      <c r="T37" s="5431" t="s">
        <v>519</v>
      </c>
      <c r="U37" s="239"/>
      <c r="V37" s="5483" t="s">
        <v>520</v>
      </c>
      <c r="W37" s="5484"/>
      <c r="X37" s="5484"/>
      <c r="Y37" s="5484"/>
      <c r="Z37" s="5484"/>
      <c r="AA37" s="5485"/>
      <c r="AB37" s="5486" t="s">
        <v>521</v>
      </c>
      <c r="AC37" s="5483" t="s">
        <v>520</v>
      </c>
      <c r="AD37" s="5484"/>
      <c r="AE37" s="5484"/>
      <c r="AF37" s="5484"/>
      <c r="AG37" s="5484"/>
      <c r="AH37" s="5485"/>
      <c r="AI37" s="5486" t="s">
        <v>522</v>
      </c>
      <c r="AJ37" s="5489" t="s">
        <v>523</v>
      </c>
      <c r="AK37" s="5328"/>
      <c r="AQ37" s="1076">
        <v>14</v>
      </c>
    </row>
    <row r="38" spans="1:43" ht="35.65" customHeight="1">
      <c r="Q38" s="314"/>
      <c r="R38" s="314"/>
      <c r="S38" s="5482"/>
      <c r="T38" s="5431"/>
      <c r="U38" s="956"/>
      <c r="V38" s="1373" t="s">
        <v>579</v>
      </c>
      <c r="W38" s="5309" t="s">
        <v>526</v>
      </c>
      <c r="X38" s="5308"/>
      <c r="Y38" s="5309" t="s">
        <v>527</v>
      </c>
      <c r="Z38" s="5314"/>
      <c r="AA38" s="5308"/>
      <c r="AB38" s="5487"/>
      <c r="AC38" s="1373" t="s">
        <v>579</v>
      </c>
      <c r="AD38" s="5309" t="s">
        <v>526</v>
      </c>
      <c r="AE38" s="5308"/>
      <c r="AF38" s="5309" t="s">
        <v>527</v>
      </c>
      <c r="AG38" s="5314"/>
      <c r="AH38" s="5308"/>
      <c r="AI38" s="5487"/>
      <c r="AJ38" s="5490"/>
      <c r="AK38" s="5328"/>
      <c r="AQ38" s="1076">
        <v>34</v>
      </c>
    </row>
    <row r="39" spans="1:43" ht="35.65" customHeight="1">
      <c r="A39" s="1291"/>
      <c r="B39" s="1291" t="s">
        <v>167</v>
      </c>
      <c r="C39" s="1291" t="s">
        <v>168</v>
      </c>
      <c r="D39" s="1291" t="s">
        <v>169</v>
      </c>
      <c r="E39" s="1285" t="s">
        <v>528</v>
      </c>
      <c r="F39" s="1285" t="s">
        <v>529</v>
      </c>
      <c r="G39" s="1285" t="s">
        <v>530</v>
      </c>
      <c r="H39" s="1285"/>
      <c r="I39" s="1285" t="s">
        <v>580</v>
      </c>
      <c r="J39" s="1285" t="s">
        <v>533</v>
      </c>
      <c r="K39" s="1285" t="s">
        <v>581</v>
      </c>
      <c r="L39" s="1285" t="s">
        <v>509</v>
      </c>
      <c r="Q39" s="314"/>
      <c r="R39" s="314"/>
      <c r="S39" s="5482"/>
      <c r="T39" s="5431"/>
      <c r="U39" s="240"/>
      <c r="V39" s="1373" t="s">
        <v>582</v>
      </c>
      <c r="W39" s="1143" t="s">
        <v>583</v>
      </c>
      <c r="X39" s="1143" t="s">
        <v>584</v>
      </c>
      <c r="Y39" s="1376" t="s">
        <v>537</v>
      </c>
      <c r="Z39" s="5436" t="s">
        <v>538</v>
      </c>
      <c r="AA39" s="5449"/>
      <c r="AB39" s="5488"/>
      <c r="AC39" s="1373" t="s">
        <v>582</v>
      </c>
      <c r="AD39" s="1143" t="s">
        <v>583</v>
      </c>
      <c r="AE39" s="1143" t="s">
        <v>584</v>
      </c>
      <c r="AF39" s="1376" t="s">
        <v>537</v>
      </c>
      <c r="AG39" s="5436" t="s">
        <v>538</v>
      </c>
      <c r="AH39" s="5449"/>
      <c r="AI39" s="5488"/>
      <c r="AJ39" s="5491"/>
      <c r="AK39" s="5328"/>
      <c r="AQ39" s="1076">
        <v>34</v>
      </c>
    </row>
    <row r="40" spans="1:43" s="4299" customFormat="1" ht="0" hidden="1" customHeight="1">
      <c r="A40" s="1291"/>
      <c r="B40" s="1291"/>
      <c r="C40" s="1291"/>
      <c r="D40" s="1291"/>
      <c r="E40" s="1291"/>
      <c r="F40" s="1291"/>
      <c r="G40" s="1291"/>
      <c r="H40" s="1291"/>
      <c r="I40" s="1291"/>
      <c r="J40" s="1291"/>
      <c r="K40" s="1291"/>
      <c r="L40" s="1285"/>
      <c r="M40" s="1283"/>
      <c r="N40" s="1283"/>
      <c r="O40" s="1283"/>
      <c r="P40" s="1167"/>
      <c r="Q40" s="1168"/>
      <c r="R40" s="1175">
        <v>1</v>
      </c>
      <c r="S40" s="1198" t="s">
        <v>136</v>
      </c>
      <c r="T40" s="1176" t="s">
        <v>103</v>
      </c>
      <c r="U40" s="1166" t="str">
        <f ca="1">OFFSET(U40,0,-1)</f>
        <v>2</v>
      </c>
      <c r="V40" s="1372">
        <f ca="1">OFFSET(V40,0,-1)+1</f>
        <v>3</v>
      </c>
      <c r="W40" s="1372">
        <f ca="1">OFFSET(W40,0,-1)+1</f>
        <v>4</v>
      </c>
      <c r="X40" s="1372">
        <f ca="1">OFFSET(X40,0,-1)+1</f>
        <v>5</v>
      </c>
      <c r="Y40" s="1372">
        <f ca="1">OFFSET(Y40,0,-1)+1</f>
        <v>6</v>
      </c>
      <c r="Z40" s="5480">
        <f ca="1">OFFSET(Z40,0,-1)+1</f>
        <v>7</v>
      </c>
      <c r="AA40" s="5480"/>
      <c r="AB40" s="1372">
        <f ca="1">OFFSET(AB40,0,-2)+1</f>
        <v>8</v>
      </c>
      <c r="AC40" s="1372">
        <f ca="1">OFFSET(AC40,0,-1)+1</f>
        <v>9</v>
      </c>
      <c r="AD40" s="1372">
        <f ca="1">OFFSET(AD40,0,-1)+1</f>
        <v>10</v>
      </c>
      <c r="AE40" s="1372">
        <f ca="1">OFFSET(AE40,0,-1)+1</f>
        <v>11</v>
      </c>
      <c r="AF40" s="1372">
        <f ca="1">OFFSET(AF40,0,-1)+1</f>
        <v>12</v>
      </c>
      <c r="AG40" s="5480">
        <f ca="1">OFFSET(AG40,0,-1)+1</f>
        <v>13</v>
      </c>
      <c r="AH40" s="5480"/>
      <c r="AI40" s="1372">
        <f ca="1">OFFSET(AI40,0,-2)+1</f>
        <v>14</v>
      </c>
      <c r="AJ40" s="1166">
        <f ca="1">OFFSET(AJ40,0,-1)</f>
        <v>14</v>
      </c>
      <c r="AK40" s="1372">
        <f ca="1">OFFSET(AK40,0,-1)+1</f>
        <v>15</v>
      </c>
      <c r="AL40" s="449"/>
      <c r="AM40" s="449"/>
      <c r="AN40" s="449"/>
      <c r="AO40" s="449"/>
      <c r="AP40" s="449"/>
      <c r="AQ40" s="434">
        <v>0</v>
      </c>
    </row>
    <row r="41" spans="1:43" ht="24" customHeight="1">
      <c r="A41" s="1284" t="s">
        <v>270</v>
      </c>
      <c r="B41" s="1284"/>
      <c r="C41" s="1284"/>
      <c r="D41" s="1284"/>
      <c r="E41" s="5469">
        <v>1</v>
      </c>
      <c r="F41" s="1284"/>
      <c r="G41" s="1284"/>
      <c r="H41" s="1284"/>
      <c r="I41" s="1284"/>
      <c r="J41" s="1284"/>
      <c r="K41" s="1284"/>
      <c r="L41" s="1285"/>
      <c r="M41" s="1286"/>
      <c r="N41" s="1286"/>
      <c r="O41" s="1286"/>
      <c r="P41" s="299"/>
      <c r="Q41" s="298"/>
      <c r="R41" s="293"/>
      <c r="S41" s="1378">
        <f>INDEX(PT_DIFFERENTIATION_NUM_NTAR,MATCH(A41,PT_DIFFERENTIATION_NTAR_ID,0))</f>
        <v>0</v>
      </c>
      <c r="T41" s="236" t="s">
        <v>155</v>
      </c>
      <c r="U41" s="238"/>
      <c r="V41" s="5463"/>
      <c r="W41" s="5464"/>
      <c r="X41" s="5464"/>
      <c r="Y41" s="5464"/>
      <c r="Z41" s="5464"/>
      <c r="AA41" s="5464"/>
      <c r="AB41" s="5465"/>
      <c r="AC41" s="5463" t="str">
        <f>INDEX(PT_DIFFERENTIATION_NTAR,MATCH(A41,PT_DIFFERENTIATION_NTAR_ID,0))</f>
        <v/>
      </c>
      <c r="AD41" s="5464"/>
      <c r="AE41" s="5464"/>
      <c r="AF41" s="5464"/>
      <c r="AG41" s="5464"/>
      <c r="AH41" s="5464"/>
      <c r="AI41" s="5464"/>
      <c r="AJ41" s="5465"/>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76">
        <v>23</v>
      </c>
    </row>
    <row r="42" spans="1:43" ht="24" customHeight="1">
      <c r="A42" s="1284" t="s">
        <v>270</v>
      </c>
      <c r="B42" s="1284" t="s">
        <v>271</v>
      </c>
      <c r="C42" s="1284"/>
      <c r="D42" s="1284"/>
      <c r="E42" s="5470"/>
      <c r="F42" s="5469">
        <v>1</v>
      </c>
      <c r="G42" s="1284"/>
      <c r="H42" s="1284"/>
      <c r="I42" s="1284"/>
      <c r="J42" s="1284"/>
      <c r="K42" s="1284"/>
      <c r="L42" s="1285"/>
      <c r="M42" s="1286"/>
      <c r="N42" s="1286"/>
      <c r="O42" s="1286"/>
      <c r="P42" s="1374"/>
      <c r="Q42" s="290"/>
      <c r="R42" s="291"/>
      <c r="S42" s="1378" t="str">
        <f>INDEX(PT_DIFFERENTIATION_NUM_TER,MATCH(B42,PT_DIFFERENTIATION_TER_ID,0))</f>
        <v>.</v>
      </c>
      <c r="T42" s="246" t="s">
        <v>490</v>
      </c>
      <c r="U42" s="238"/>
      <c r="V42" s="5463"/>
      <c r="W42" s="5464"/>
      <c r="X42" s="5464"/>
      <c r="Y42" s="5464"/>
      <c r="Z42" s="5464"/>
      <c r="AA42" s="5464"/>
      <c r="AB42" s="5465"/>
      <c r="AC42" s="5463" t="str">
        <f>INDEX(PT_DIFFERENTIATION_TER,MATCH(B42,PT_DIFFERENTIATION_TER_ID,0))</f>
        <v/>
      </c>
      <c r="AD42" s="5464"/>
      <c r="AE42" s="5464"/>
      <c r="AF42" s="5464"/>
      <c r="AG42" s="5464"/>
      <c r="AH42" s="5464"/>
      <c r="AI42" s="5464"/>
      <c r="AJ42" s="5465"/>
      <c r="AK42" s="1179" t="s">
        <v>491</v>
      </c>
      <c r="AM42" s="438"/>
      <c r="AN42" s="438" t="str">
        <f t="shared" si="1"/>
        <v>Территория действия тарифа</v>
      </c>
      <c r="AO42" s="438"/>
      <c r="AP42" s="438"/>
      <c r="AQ42" s="1076">
        <v>23</v>
      </c>
    </row>
    <row r="43" spans="1:43" ht="24" customHeight="1">
      <c r="A43" s="1284" t="s">
        <v>270</v>
      </c>
      <c r="B43" s="1284" t="s">
        <v>271</v>
      </c>
      <c r="C43" s="1284" t="s">
        <v>272</v>
      </c>
      <c r="D43" s="1284"/>
      <c r="E43" s="5470"/>
      <c r="F43" s="5470"/>
      <c r="G43" s="5469">
        <v>1</v>
      </c>
      <c r="H43" s="1284"/>
      <c r="I43" s="1284"/>
      <c r="J43" s="1284"/>
      <c r="K43" s="1284"/>
      <c r="L43" s="1285"/>
      <c r="M43" s="1286"/>
      <c r="N43" s="1286"/>
      <c r="O43" s="1286"/>
      <c r="P43" s="292"/>
      <c r="Q43" s="290"/>
      <c r="R43" s="291"/>
      <c r="S43" s="1378" t="str">
        <f>INDEX(PT_DIFFERENTIATION_NUM_CS,MATCH(C43,PT_DIFFERENTIATION_CS_ID,0))</f>
        <v>..</v>
      </c>
      <c r="T43" s="247" t="s">
        <v>571</v>
      </c>
      <c r="U43" s="238"/>
      <c r="V43" s="5463"/>
      <c r="W43" s="5464"/>
      <c r="X43" s="5464"/>
      <c r="Y43" s="5464"/>
      <c r="Z43" s="5464"/>
      <c r="AA43" s="5464"/>
      <c r="AB43" s="5465"/>
      <c r="AC43" s="5463" t="str">
        <f>INDEX(PT_DIFFERENTIATION_CS,MATCH(C43,PT_DIFFERENTIATION_CS_ID,0))</f>
        <v/>
      </c>
      <c r="AD43" s="5464"/>
      <c r="AE43" s="5464"/>
      <c r="AF43" s="5464"/>
      <c r="AG43" s="5464"/>
      <c r="AH43" s="5464"/>
      <c r="AI43" s="5464"/>
      <c r="AJ43" s="5465"/>
      <c r="AK43" s="1179" t="s">
        <v>572</v>
      </c>
      <c r="AM43" s="438"/>
      <c r="AN43" s="438" t="str">
        <f t="shared" si="1"/>
        <v>Наименование централизованной системы холодного водоснабжения</v>
      </c>
      <c r="AO43" s="438"/>
      <c r="AP43" s="438"/>
      <c r="AQ43" s="1076">
        <v>23</v>
      </c>
    </row>
    <row r="44" spans="1:43" ht="24" customHeight="1">
      <c r="A44" s="1284" t="s">
        <v>270</v>
      </c>
      <c r="B44" s="1284" t="s">
        <v>271</v>
      </c>
      <c r="C44" s="1284" t="s">
        <v>272</v>
      </c>
      <c r="D44" s="1284" t="s">
        <v>588</v>
      </c>
      <c r="E44" s="5470"/>
      <c r="F44" s="5470"/>
      <c r="G44" s="5470"/>
      <c r="H44" s="5470"/>
      <c r="I44" s="5471" t="str">
        <f>S43&amp;".1"</f>
        <v>...1</v>
      </c>
      <c r="J44" s="1284"/>
      <c r="K44" s="1284"/>
      <c r="L44" s="1285"/>
      <c r="P44" s="5473">
        <v>1</v>
      </c>
      <c r="Q44" s="1371"/>
      <c r="R44" s="294"/>
      <c r="S44" s="1378" t="str">
        <f>$I44</f>
        <v>...1</v>
      </c>
      <c r="T44" s="223" t="s">
        <v>573</v>
      </c>
      <c r="U44" s="238"/>
      <c r="V44" s="5537"/>
      <c r="W44" s="5538"/>
      <c r="X44" s="5538"/>
      <c r="Y44" s="5538"/>
      <c r="Z44" s="5538"/>
      <c r="AA44" s="5538"/>
      <c r="AB44" s="5539"/>
      <c r="AC44" s="5540"/>
      <c r="AD44" s="5541"/>
      <c r="AE44" s="5541"/>
      <c r="AF44" s="5541"/>
      <c r="AG44" s="5541"/>
      <c r="AH44" s="5541"/>
      <c r="AI44" s="5541"/>
      <c r="AJ44" s="5542"/>
      <c r="AK44" s="1179" t="s">
        <v>574</v>
      </c>
      <c r="AM44" s="438"/>
      <c r="AN44" s="438" t="str">
        <f t="shared" si="1"/>
        <v>Наименование признака дифференциации</v>
      </c>
      <c r="AO44" s="438"/>
      <c r="AP44" s="438"/>
      <c r="AQ44" s="1076">
        <v>23</v>
      </c>
    </row>
    <row r="45" spans="1:43" ht="24" customHeight="1">
      <c r="A45" s="1284" t="s">
        <v>270</v>
      </c>
      <c r="B45" s="1284" t="s">
        <v>271</v>
      </c>
      <c r="C45" s="1284" t="s">
        <v>272</v>
      </c>
      <c r="D45" s="1284" t="s">
        <v>588</v>
      </c>
      <c r="E45" s="5470"/>
      <c r="F45" s="5470"/>
      <c r="G45" s="5470"/>
      <c r="H45" s="5470"/>
      <c r="I45" s="5472"/>
      <c r="J45" s="5471" t="str">
        <f>I44&amp;".1"</f>
        <v>...1.1</v>
      </c>
      <c r="K45" s="1284"/>
      <c r="L45" s="1285" t="s">
        <v>499</v>
      </c>
      <c r="P45" s="5473"/>
      <c r="Q45" s="5473">
        <v>1</v>
      </c>
      <c r="R45" s="295"/>
      <c r="S45" s="1378" t="str">
        <f>$J45</f>
        <v>...1.1</v>
      </c>
      <c r="T45" s="224" t="s">
        <v>500</v>
      </c>
      <c r="U45" s="238"/>
      <c r="V45" s="5457"/>
      <c r="W45" s="5458"/>
      <c r="X45" s="5458"/>
      <c r="Y45" s="5458"/>
      <c r="Z45" s="5458"/>
      <c r="AA45" s="5458"/>
      <c r="AB45" s="5459"/>
      <c r="AC45" s="5457"/>
      <c r="AD45" s="5458"/>
      <c r="AE45" s="5458"/>
      <c r="AF45" s="5458"/>
      <c r="AG45" s="5458"/>
      <c r="AH45" s="5458"/>
      <c r="AI45" s="5458"/>
      <c r="AJ45" s="5459"/>
      <c r="AK45" s="1228" t="s">
        <v>575</v>
      </c>
      <c r="AM45" s="438"/>
      <c r="AN45" s="438" t="str">
        <f t="shared" si="1"/>
        <v>Группа потребителей</v>
      </c>
      <c r="AO45" s="438"/>
      <c r="AP45" s="438"/>
      <c r="AQ45" s="1076">
        <v>23</v>
      </c>
    </row>
    <row r="46" spans="1:43" ht="24" customHeight="1">
      <c r="A46" s="1284" t="s">
        <v>270</v>
      </c>
      <c r="B46" s="1284" t="s">
        <v>271</v>
      </c>
      <c r="C46" s="1284" t="s">
        <v>272</v>
      </c>
      <c r="D46" s="1284" t="s">
        <v>588</v>
      </c>
      <c r="E46" s="5470"/>
      <c r="F46" s="5470"/>
      <c r="G46" s="5470"/>
      <c r="H46" s="5470"/>
      <c r="I46" s="5472"/>
      <c r="J46" s="5472"/>
      <c r="K46" s="5471" t="str">
        <f>J45&amp;".1"</f>
        <v>...1.1.1</v>
      </c>
      <c r="L46" s="1285"/>
      <c r="P46" s="5473"/>
      <c r="Q46" s="5473"/>
      <c r="R46" s="295">
        <v>1</v>
      </c>
      <c r="S46" s="1378" t="str">
        <f>$K46</f>
        <v>...1.1.1</v>
      </c>
      <c r="T46" s="1358"/>
      <c r="U46" s="238"/>
      <c r="V46" s="689"/>
      <c r="W46" s="689"/>
      <c r="X46" s="1178"/>
      <c r="Y46" s="5474"/>
      <c r="Z46" s="5338" t="s">
        <v>66</v>
      </c>
      <c r="AA46" s="5474"/>
      <c r="AB46" s="5338" t="s">
        <v>66</v>
      </c>
      <c r="AC46" s="689"/>
      <c r="AD46" s="689"/>
      <c r="AE46" s="1178"/>
      <c r="AF46" s="5474"/>
      <c r="AG46" s="5338" t="s">
        <v>66</v>
      </c>
      <c r="AH46" s="5476"/>
      <c r="AI46" s="5338" t="s">
        <v>66</v>
      </c>
      <c r="AJ46" s="1359"/>
      <c r="AK4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76">
        <v>23</v>
      </c>
    </row>
    <row r="47" spans="1:43" ht="0" hidden="1" customHeight="1">
      <c r="A47" s="1284" t="s">
        <v>270</v>
      </c>
      <c r="B47" s="1284" t="s">
        <v>271</v>
      </c>
      <c r="C47" s="1284" t="s">
        <v>272</v>
      </c>
      <c r="D47" s="1284" t="s">
        <v>588</v>
      </c>
      <c r="E47" s="5470"/>
      <c r="F47" s="5470"/>
      <c r="G47" s="5470"/>
      <c r="H47" s="5470"/>
      <c r="I47" s="5472"/>
      <c r="J47" s="5472"/>
      <c r="K47" s="5471"/>
      <c r="L47" s="1285"/>
      <c r="P47" s="5473"/>
      <c r="Q47" s="5473"/>
      <c r="R47" s="295"/>
      <c r="S47" s="1377"/>
      <c r="T47" s="238"/>
      <c r="U47" s="238"/>
      <c r="V47" s="263"/>
      <c r="W47" s="263"/>
      <c r="X47" s="266" t="str">
        <f>Y46&amp;"-"&amp;AA46</f>
        <v>-</v>
      </c>
      <c r="Y47" s="5475"/>
      <c r="Z47" s="5338"/>
      <c r="AA47" s="5475"/>
      <c r="AB47" s="5338"/>
      <c r="AC47" s="263"/>
      <c r="AD47" s="263"/>
      <c r="AE47" s="266" t="str">
        <f>AF46&amp;"-"&amp;AH46</f>
        <v>-</v>
      </c>
      <c r="AF47" s="5475"/>
      <c r="AG47" s="5338"/>
      <c r="AH47" s="5477"/>
      <c r="AI47" s="5338"/>
      <c r="AJ47" s="1360"/>
      <c r="AK47" s="5543"/>
      <c r="AM47" s="438"/>
      <c r="AN47" s="438" t="str">
        <f t="shared" si="1"/>
        <v/>
      </c>
      <c r="AO47" s="438"/>
      <c r="AP47" s="438"/>
      <c r="AQ47" s="1076">
        <v>0</v>
      </c>
    </row>
    <row r="48" spans="1:43" ht="21" customHeight="1">
      <c r="A48" s="1284" t="s">
        <v>270</v>
      </c>
      <c r="B48" s="1284" t="s">
        <v>271</v>
      </c>
      <c r="C48" s="1284" t="s">
        <v>272</v>
      </c>
      <c r="D48" s="1284" t="s">
        <v>588</v>
      </c>
      <c r="E48" s="5470"/>
      <c r="F48" s="5470"/>
      <c r="G48" s="5470"/>
      <c r="H48" s="5470"/>
      <c r="I48" s="5472"/>
      <c r="J48" s="5471"/>
      <c r="K48" s="1284"/>
      <c r="L48" s="1285"/>
      <c r="P48" s="5473"/>
      <c r="Q48" s="5473"/>
      <c r="R48" s="294"/>
      <c r="S48" s="1199"/>
      <c r="T48" s="225" t="s">
        <v>576</v>
      </c>
      <c r="U48" s="305"/>
      <c r="V48" s="305"/>
      <c r="W48" s="305"/>
      <c r="X48" s="305"/>
      <c r="Y48" s="305"/>
      <c r="Z48" s="305"/>
      <c r="AA48" s="305"/>
      <c r="AB48" s="305"/>
      <c r="AC48" s="305"/>
      <c r="AD48" s="305"/>
      <c r="AE48" s="305"/>
      <c r="AF48" s="305"/>
      <c r="AG48" s="305"/>
      <c r="AH48" s="305"/>
      <c r="AI48" s="305"/>
      <c r="AJ48" s="305"/>
      <c r="AK48" s="1179" t="s">
        <v>577</v>
      </c>
      <c r="AM48" s="438"/>
      <c r="AN48" s="438" t="str">
        <f t="shared" si="1"/>
        <v>Добавить значение признака дифференциации</v>
      </c>
      <c r="AO48" s="438"/>
      <c r="AP48" s="438"/>
      <c r="AQ48" s="1076">
        <v>20</v>
      </c>
    </row>
    <row r="49" spans="1:43" ht="21.95" customHeight="1">
      <c r="A49" s="1284" t="s">
        <v>270</v>
      </c>
      <c r="B49" s="1284" t="s">
        <v>271</v>
      </c>
      <c r="C49" s="1284" t="s">
        <v>272</v>
      </c>
      <c r="D49" s="1284" t="s">
        <v>588</v>
      </c>
      <c r="E49" s="5470"/>
      <c r="F49" s="5470"/>
      <c r="G49" s="5470"/>
      <c r="H49" s="5470"/>
      <c r="I49" s="5471"/>
      <c r="J49" s="1284"/>
      <c r="K49" s="1284"/>
      <c r="L49" s="1285"/>
      <c r="P49" s="5473"/>
      <c r="Q49" s="1371"/>
      <c r="R49" s="294"/>
      <c r="S49" s="1199"/>
      <c r="T49" s="303" t="s">
        <v>505</v>
      </c>
      <c r="U49" s="305"/>
      <c r="V49" s="305"/>
      <c r="W49" s="305"/>
      <c r="X49" s="305"/>
      <c r="Y49" s="305"/>
      <c r="Z49" s="305"/>
      <c r="AA49" s="305"/>
      <c r="AB49" s="304"/>
      <c r="AC49" s="305"/>
      <c r="AD49" s="305"/>
      <c r="AE49" s="305"/>
      <c r="AF49" s="305"/>
      <c r="AG49" s="305"/>
      <c r="AH49" s="305"/>
      <c r="AI49" s="304"/>
      <c r="AJ49" s="305"/>
      <c r="AK49" s="1361"/>
      <c r="AM49" s="438"/>
      <c r="AN49" s="438" t="str">
        <f t="shared" si="1"/>
        <v>Добавить группу потребителей</v>
      </c>
      <c r="AO49" s="438"/>
      <c r="AP49" s="438"/>
      <c r="AQ49" s="1076">
        <v>21</v>
      </c>
    </row>
    <row r="50" spans="1:43" ht="21.95" customHeight="1">
      <c r="A50" s="1284" t="s">
        <v>270</v>
      </c>
      <c r="B50" s="1284" t="s">
        <v>271</v>
      </c>
      <c r="C50" s="1284" t="s">
        <v>272</v>
      </c>
      <c r="D50" s="1284" t="s">
        <v>588</v>
      </c>
      <c r="E50" s="5470"/>
      <c r="F50" s="5470"/>
      <c r="G50" s="5470"/>
      <c r="H50" s="5469"/>
      <c r="I50" s="1284"/>
      <c r="J50" s="1284"/>
      <c r="K50" s="1284"/>
      <c r="L50" s="1285"/>
      <c r="M50" s="1286"/>
      <c r="N50" s="1286"/>
      <c r="O50" s="475"/>
      <c r="P50" s="298"/>
      <c r="Q50" s="313"/>
      <c r="R50" s="293"/>
      <c r="S50" s="1199"/>
      <c r="T50" s="310" t="s">
        <v>578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76">
        <v>21</v>
      </c>
    </row>
    <row r="51" spans="1:43" s="4275" customFormat="1" ht="0" hidden="1" customHeight="1">
      <c r="A51" s="1264" t="s">
        <v>270</v>
      </c>
      <c r="B51" s="1264" t="s">
        <v>271</v>
      </c>
      <c r="C51" s="1235"/>
      <c r="D51" s="1235"/>
      <c r="E51" s="5470"/>
      <c r="F51" s="5469"/>
      <c r="G51" s="1235"/>
      <c r="H51" s="1235"/>
      <c r="I51" s="1235"/>
      <c r="J51" s="1235"/>
      <c r="K51" s="1235"/>
      <c r="L51" s="1379"/>
      <c r="M51" s="1242"/>
      <c r="N51" s="1242"/>
      <c r="P51" s="1237"/>
      <c r="Q51" s="1238"/>
      <c r="R51" s="1237"/>
      <c r="S51" s="1243"/>
      <c r="T51" s="1246" t="s">
        <v>312</v>
      </c>
      <c r="U51" s="1245"/>
      <c r="V51" s="1245"/>
      <c r="W51" s="1245"/>
      <c r="X51" s="1245"/>
      <c r="Y51" s="1245"/>
      <c r="Z51" s="1245"/>
      <c r="AA51" s="1245"/>
      <c r="AB51" s="1245"/>
      <c r="AC51" s="1245"/>
      <c r="AD51" s="1245"/>
      <c r="AE51" s="1245"/>
      <c r="AF51" s="1245"/>
      <c r="AG51" s="1245"/>
      <c r="AH51" s="1245"/>
      <c r="AI51" s="1245"/>
      <c r="AJ51" s="1245"/>
      <c r="AK51" s="1245"/>
      <c r="AM51" s="721"/>
      <c r="AN51" s="721" t="str">
        <f t="shared" si="1"/>
        <v>Добавить централизованную систему для дифференциации</v>
      </c>
      <c r="AO51" s="721"/>
      <c r="AP51" s="721"/>
      <c r="AQ51" s="456">
        <v>0</v>
      </c>
    </row>
    <row r="52" spans="1:43" s="4275" customFormat="1" ht="0" hidden="1" customHeight="1">
      <c r="A52" s="1264" t="s">
        <v>270</v>
      </c>
      <c r="B52" s="1264"/>
      <c r="C52" s="1264"/>
      <c r="D52" s="1264"/>
      <c r="E52" s="5469"/>
      <c r="F52" s="1264"/>
      <c r="G52" s="1264"/>
      <c r="H52" s="1264"/>
      <c r="I52" s="1264"/>
      <c r="J52" s="1264"/>
      <c r="K52" s="1264"/>
      <c r="L52" s="1267"/>
      <c r="M52" s="1242"/>
      <c r="N52" s="1242"/>
      <c r="O52" s="456"/>
      <c r="P52" s="318"/>
      <c r="Q52" s="1265"/>
      <c r="R52" s="318"/>
      <c r="S52" s="1243"/>
      <c r="T52" s="1246" t="s">
        <v>360</v>
      </c>
      <c r="U52" s="1245"/>
      <c r="V52" s="1245"/>
      <c r="W52" s="1245"/>
      <c r="X52" s="1245"/>
      <c r="Y52" s="1245"/>
      <c r="Z52" s="1245"/>
      <c r="AA52" s="1245"/>
      <c r="AB52" s="1245"/>
      <c r="AC52" s="1245"/>
      <c r="AD52" s="1245"/>
      <c r="AE52" s="1245"/>
      <c r="AF52" s="1245"/>
      <c r="AG52" s="1245"/>
      <c r="AH52" s="1245"/>
      <c r="AI52" s="1245"/>
      <c r="AJ52" s="1245"/>
      <c r="AK52" s="1245"/>
      <c r="AM52" s="438"/>
      <c r="AN52" s="438" t="str">
        <f t="shared" si="1"/>
        <v>Добавить территорию для дифференциации</v>
      </c>
      <c r="AO52" s="438"/>
      <c r="AP52" s="438"/>
      <c r="AQ52" s="449">
        <v>0</v>
      </c>
    </row>
    <row r="53" spans="1:43" s="4275" customFormat="1" ht="0" hidden="1" customHeight="1">
      <c r="A53" s="1235"/>
      <c r="B53" s="1235"/>
      <c r="C53" s="1235"/>
      <c r="D53" s="1235"/>
      <c r="E53" s="1264"/>
      <c r="F53" s="1235"/>
      <c r="G53" s="1235"/>
      <c r="H53" s="1235"/>
      <c r="I53" s="1235"/>
      <c r="J53" s="1235"/>
      <c r="K53" s="1235"/>
      <c r="L53" s="1379"/>
      <c r="M53" s="1242"/>
      <c r="N53" s="1242"/>
      <c r="P53" s="1237"/>
      <c r="Q53" s="1238"/>
      <c r="R53" s="1237"/>
      <c r="S53" s="1243"/>
      <c r="T53" s="1246" t="s">
        <v>361</v>
      </c>
      <c r="U53" s="1245"/>
      <c r="V53" s="1245"/>
      <c r="W53" s="1245"/>
      <c r="X53" s="1245"/>
      <c r="Y53" s="1245"/>
      <c r="Z53" s="1245"/>
      <c r="AA53" s="1245"/>
      <c r="AB53" s="1245"/>
      <c r="AC53" s="1245"/>
      <c r="AD53" s="1245"/>
      <c r="AE53" s="1245"/>
      <c r="AF53" s="1245"/>
      <c r="AG53" s="1245"/>
      <c r="AH53" s="1245"/>
      <c r="AI53" s="1245"/>
      <c r="AJ53" s="1245"/>
      <c r="AK53" s="1245"/>
      <c r="AM53" s="721"/>
      <c r="AN53" s="721" t="str">
        <f t="shared" si="1"/>
        <v>Добавить наименование тарифа</v>
      </c>
      <c r="AO53" s="721"/>
      <c r="AP53" s="721"/>
      <c r="AQ53" s="456">
        <v>0</v>
      </c>
    </row>
    <row r="54" spans="1:43" ht="11.45" customHeight="1">
      <c r="M54" s="1081"/>
      <c r="N54" s="1081"/>
      <c r="O54" s="475"/>
      <c r="P54" s="1076"/>
      <c r="Q54" s="1076"/>
      <c r="R54" s="1076"/>
      <c r="S54" s="1076"/>
      <c r="AL54" s="1076"/>
      <c r="AM54" s="1076"/>
      <c r="AN54" s="1076"/>
      <c r="AO54" s="1076"/>
      <c r="AP54" s="1076"/>
      <c r="AQ54" s="1076">
        <v>11</v>
      </c>
    </row>
    <row r="55" spans="1:43" ht="14.65" customHeight="1">
      <c r="O55" s="475"/>
      <c r="S55" s="1174"/>
      <c r="T55" s="5468"/>
      <c r="U55" s="5468"/>
      <c r="V55" s="5468"/>
      <c r="W55" s="5468"/>
      <c r="X55" s="5468"/>
      <c r="Y55" s="5468"/>
      <c r="Z55" s="5468"/>
      <c r="AA55" s="5468"/>
      <c r="AB55" s="5468"/>
      <c r="AC55" s="5468"/>
      <c r="AD55" s="5468"/>
      <c r="AE55" s="5468"/>
      <c r="AF55" s="5468"/>
      <c r="AG55" s="5468"/>
      <c r="AH55" s="5468"/>
      <c r="AI55" s="5468"/>
      <c r="AJ55" s="5468"/>
      <c r="AK55" s="5468"/>
      <c r="AQ55" s="1076">
        <v>14</v>
      </c>
    </row>
    <row r="56" spans="1:43" ht="14.65" customHeight="1">
      <c r="O56" s="475"/>
      <c r="AQ56" s="1076">
        <v>14</v>
      </c>
    </row>
    <row r="57" spans="1:43" ht="14.65" customHeight="1">
      <c r="O57" s="475"/>
      <c r="S57" s="1174"/>
      <c r="T57" s="5468"/>
      <c r="U57" s="5468"/>
      <c r="V57" s="5468"/>
      <c r="W57" s="5468"/>
      <c r="X57" s="5468"/>
      <c r="Y57" s="5468"/>
      <c r="Z57" s="5468"/>
      <c r="AA57" s="5468"/>
      <c r="AB57" s="5468"/>
      <c r="AC57" s="5468"/>
      <c r="AD57" s="5468"/>
      <c r="AE57" s="5468"/>
      <c r="AF57" s="5468"/>
      <c r="AG57" s="5468"/>
      <c r="AH57" s="5468"/>
      <c r="AI57" s="5468"/>
      <c r="AJ57" s="5468"/>
      <c r="AK57" s="5468"/>
      <c r="AQ57" s="1076">
        <v>14</v>
      </c>
    </row>
    <row r="58" spans="1:43" ht="22.5" hidden="1" customHeight="1">
      <c r="A58" s="1081" t="s">
        <v>82</v>
      </c>
      <c r="B58" s="1081">
        <v>0</v>
      </c>
      <c r="C58" s="1081">
        <v>0</v>
      </c>
      <c r="D58" s="1081">
        <v>0</v>
      </c>
      <c r="E58" s="1081">
        <v>0</v>
      </c>
      <c r="F58" s="1081">
        <v>0</v>
      </c>
      <c r="G58" s="1081">
        <v>0</v>
      </c>
      <c r="H58" s="1081">
        <v>0</v>
      </c>
      <c r="I58" s="1081">
        <v>0</v>
      </c>
      <c r="J58" s="1081">
        <v>0</v>
      </c>
      <c r="K58" s="1081">
        <v>0</v>
      </c>
      <c r="L58" s="1368">
        <v>0</v>
      </c>
      <c r="M58" s="1283">
        <v>0</v>
      </c>
      <c r="N58" s="1283">
        <v>0</v>
      </c>
      <c r="O58" s="1283">
        <v>0</v>
      </c>
      <c r="P58" s="1367">
        <v>3</v>
      </c>
      <c r="Q58" s="282">
        <v>3</v>
      </c>
      <c r="R58" s="282">
        <v>3</v>
      </c>
      <c r="S58" s="519">
        <v>12</v>
      </c>
      <c r="T58" s="1076">
        <v>35</v>
      </c>
      <c r="U58" s="1076">
        <v>0</v>
      </c>
      <c r="V58" s="1076">
        <v>0</v>
      </c>
      <c r="W58" s="1076">
        <v>0</v>
      </c>
      <c r="X58" s="1076">
        <v>0</v>
      </c>
      <c r="Y58" s="1076">
        <v>0</v>
      </c>
      <c r="Z58" s="1076">
        <v>0</v>
      </c>
      <c r="AA58" s="1076">
        <v>0</v>
      </c>
      <c r="AB58" s="1076">
        <v>0</v>
      </c>
      <c r="AC58" s="1076">
        <v>24</v>
      </c>
      <c r="AD58" s="1076">
        <v>24</v>
      </c>
      <c r="AE58" s="1076">
        <v>24</v>
      </c>
      <c r="AF58" s="1076">
        <v>11</v>
      </c>
      <c r="AG58" s="1076">
        <v>3</v>
      </c>
      <c r="AH58" s="1076">
        <v>11</v>
      </c>
      <c r="AI58" s="1076">
        <v>0</v>
      </c>
      <c r="AJ58" s="1076">
        <v>4</v>
      </c>
      <c r="AK58" s="1076">
        <v>115</v>
      </c>
      <c r="AL58" s="449">
        <v>10</v>
      </c>
      <c r="AM58" s="449">
        <v>10</v>
      </c>
      <c r="AN58" s="449">
        <v>10</v>
      </c>
      <c r="AO58" s="449">
        <v>10</v>
      </c>
      <c r="AP58" s="449">
        <v>10</v>
      </c>
      <c r="AQ58" s="1076">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4267" hidden="1" customWidth="1"/>
    <col min="4" max="4" width="11.85546875" style="4267" hidden="1" customWidth="1"/>
    <col min="5" max="11" width="10.140625" style="4267" hidden="1" customWidth="1"/>
    <col min="12" max="12" width="10.140625" style="4272" hidden="1" customWidth="1"/>
    <col min="13" max="15" width="10.140625" style="4302" hidden="1" customWidth="1"/>
    <col min="16" max="16" width="3" style="4301" customWidth="1"/>
    <col min="17" max="17" width="3" style="4306" customWidth="1"/>
    <col min="18" max="18" width="3" style="4303" customWidth="1"/>
    <col min="19" max="19" width="12" style="4304" customWidth="1"/>
    <col min="20" max="20" width="31" style="4267" customWidth="1"/>
    <col min="21" max="21" width="0.140625" style="4267" customWidth="1"/>
    <col min="22" max="23" width="21.7109375" style="4267" hidden="1" customWidth="1"/>
    <col min="24" max="24" width="11.7109375" style="4267" hidden="1" customWidth="1"/>
    <col min="25" max="25" width="3.7109375" style="4267" hidden="1" customWidth="1"/>
    <col min="26" max="26" width="11.7109375" style="4267" hidden="1" customWidth="1"/>
    <col min="27" max="27" width="8.5703125" style="4267" hidden="1" customWidth="1"/>
    <col min="28" max="28" width="27" style="4267" customWidth="1"/>
    <col min="29" max="29" width="24.5703125" style="4267" customWidth="1"/>
    <col min="30" max="31" width="21" style="4267" customWidth="1"/>
    <col min="32" max="32" width="11" style="4267" customWidth="1"/>
    <col min="33" max="33" width="3.7109375" style="4267" customWidth="1"/>
    <col min="34" max="34" width="11" style="4267" customWidth="1"/>
    <col min="35" max="35" width="8.5703125" style="4267" hidden="1" customWidth="1"/>
    <col min="36" max="36" width="4" style="4267" customWidth="1"/>
    <col min="37" max="37" width="115" style="4267" customWidth="1"/>
    <col min="38" max="42" width="10" style="4275" customWidth="1"/>
    <col min="43" max="43" width="10.5703125" style="4267" hidden="1"/>
  </cols>
  <sheetData>
    <row r="1" spans="1:43" ht="0.75" hidden="1" customHeight="1">
      <c r="AQ1" s="1552" t="s">
        <v>14</v>
      </c>
    </row>
    <row r="2" spans="1:43" ht="21" hidden="1" customHeight="1">
      <c r="A2" s="1188"/>
      <c r="B2" s="1188"/>
      <c r="C2" s="1188"/>
      <c r="D2" s="1188"/>
      <c r="E2" s="5495">
        <v>1</v>
      </c>
      <c r="F2" s="1188"/>
      <c r="G2" s="1188"/>
      <c r="H2" s="1188"/>
      <c r="I2" s="1188"/>
      <c r="J2" s="1188"/>
      <c r="K2" s="1188"/>
      <c r="L2" s="1231"/>
      <c r="M2" s="1531"/>
      <c r="N2" s="1531"/>
      <c r="O2" s="1531"/>
      <c r="P2" s="1330"/>
      <c r="Q2" s="801"/>
      <c r="R2" s="293"/>
      <c r="S2" s="1873" t="e">
        <f>INDEX(PT_DIFFERENTIATION_NUM_NTAR,MATCH(A2,PT_DIFFERENTIATION_NTAR_ID,0))</f>
        <v>#N/A</v>
      </c>
      <c r="T2" s="1446" t="s">
        <v>155</v>
      </c>
      <c r="U2" s="238"/>
      <c r="V2" s="5464"/>
      <c r="W2" s="5464"/>
      <c r="X2" s="5464"/>
      <c r="Y2" s="5464"/>
      <c r="Z2" s="5464"/>
      <c r="AA2" s="5465"/>
      <c r="AB2" s="1867"/>
      <c r="AC2" s="5464" t="e">
        <f>INDEX(PT_DIFFERENTIATION_NTAR,MATCH(A2,PT_DIFFERENTIATION_NTAR_ID,0))</f>
        <v>#N/A</v>
      </c>
      <c r="AD2" s="5464"/>
      <c r="AE2" s="5464"/>
      <c r="AF2" s="5464"/>
      <c r="AG2" s="5464"/>
      <c r="AH2" s="5464"/>
      <c r="AI2" s="5464"/>
      <c r="AJ2" s="5465"/>
      <c r="AK2" s="1179" t="s">
        <v>489</v>
      </c>
      <c r="AM2" s="1545"/>
      <c r="AN2" s="1545" t="str">
        <f t="shared" ref="AN2:AN14" si="0">IF(T2="","",T2)</f>
        <v>Наименование тарифа</v>
      </c>
      <c r="AO2" s="1545"/>
      <c r="AP2" s="1545"/>
      <c r="AQ2" s="1552">
        <v>0</v>
      </c>
    </row>
    <row r="3" spans="1:43" ht="21" hidden="1" customHeight="1">
      <c r="A3" s="1188"/>
      <c r="B3" s="1188"/>
      <c r="C3" s="1188"/>
      <c r="D3" s="1188"/>
      <c r="E3" s="5496"/>
      <c r="F3" s="5495">
        <v>1</v>
      </c>
      <c r="G3" s="1188"/>
      <c r="H3" s="1188"/>
      <c r="I3" s="1188"/>
      <c r="J3" s="1188"/>
      <c r="K3" s="1188"/>
      <c r="L3" s="1231"/>
      <c r="M3" s="1531"/>
      <c r="N3" s="1531"/>
      <c r="O3" s="1531"/>
      <c r="P3" s="1884"/>
      <c r="Q3" s="1332"/>
      <c r="R3" s="291"/>
      <c r="S3" s="1873" t="e">
        <f>INDEX(PT_DIFFERENTIATION_NUM_TER,MATCH(B3,PT_DIFFERENTIATION_TER_ID,0))</f>
        <v>#N/A</v>
      </c>
      <c r="T3" s="1443" t="s">
        <v>490</v>
      </c>
      <c r="U3" s="238"/>
      <c r="V3" s="5464"/>
      <c r="W3" s="5464"/>
      <c r="X3" s="5464"/>
      <c r="Y3" s="5464"/>
      <c r="Z3" s="5464"/>
      <c r="AA3" s="5465"/>
      <c r="AB3" s="1867"/>
      <c r="AC3" s="5464" t="e">
        <f>INDEX(PT_DIFFERENTIATION_TER,MATCH(B3,PT_DIFFERENTIATION_TER_ID,0))</f>
        <v>#N/A</v>
      </c>
      <c r="AD3" s="5464"/>
      <c r="AE3" s="5464"/>
      <c r="AF3" s="5464"/>
      <c r="AG3" s="5464"/>
      <c r="AH3" s="5464"/>
      <c r="AI3" s="5464"/>
      <c r="AJ3" s="5465"/>
      <c r="AK3" s="1179" t="s">
        <v>491</v>
      </c>
      <c r="AM3" s="1545"/>
      <c r="AN3" s="1545" t="str">
        <f t="shared" si="0"/>
        <v>Территория действия тарифа</v>
      </c>
      <c r="AO3" s="1545"/>
      <c r="AP3" s="1545"/>
      <c r="AQ3" s="1552">
        <v>0</v>
      </c>
    </row>
    <row r="4" spans="1:43" ht="22.5" hidden="1" customHeight="1">
      <c r="A4" s="1188"/>
      <c r="B4" s="1188"/>
      <c r="C4" s="1188"/>
      <c r="D4" s="1188"/>
      <c r="E4" s="5496"/>
      <c r="F4" s="5496"/>
      <c r="G4" s="5495">
        <v>1</v>
      </c>
      <c r="H4" s="1188"/>
      <c r="I4" s="1188"/>
      <c r="J4" s="1188"/>
      <c r="K4" s="1188"/>
      <c r="L4" s="1231"/>
      <c r="M4" s="1531"/>
      <c r="N4" s="1531"/>
      <c r="O4" s="1531"/>
      <c r="P4" s="1333"/>
      <c r="Q4" s="1332"/>
      <c r="R4" s="291"/>
      <c r="S4" s="1873" t="e">
        <f>INDEX(PT_DIFFERENTIATION_NUM_CS,MATCH(C4,PT_DIFFERENTIATION_CS_ID,0))</f>
        <v>#N/A</v>
      </c>
      <c r="T4" s="247" t="s">
        <v>492</v>
      </c>
      <c r="U4" s="238"/>
      <c r="V4" s="5464"/>
      <c r="W4" s="5464"/>
      <c r="X4" s="5464"/>
      <c r="Y4" s="5464"/>
      <c r="Z4" s="5464"/>
      <c r="AA4" s="5465"/>
      <c r="AB4" s="1867"/>
      <c r="AC4" s="5464" t="e">
        <f>INDEX(PT_DIFFERENTIATION_CS,MATCH(C4,PT_DIFFERENTIATION_CS_ID,0))</f>
        <v>#N/A</v>
      </c>
      <c r="AD4" s="5464"/>
      <c r="AE4" s="5464"/>
      <c r="AF4" s="5464"/>
      <c r="AG4" s="5464"/>
      <c r="AH4" s="5464"/>
      <c r="AI4" s="5464"/>
      <c r="AJ4" s="5465"/>
      <c r="AK4" s="1179" t="s">
        <v>493</v>
      </c>
      <c r="AM4" s="1545"/>
      <c r="AN4" s="1545" t="str">
        <f t="shared" si="0"/>
        <v xml:space="preserve">Наименование системы теплоснабжения </v>
      </c>
      <c r="AO4" s="1545"/>
      <c r="AP4" s="1545"/>
      <c r="AQ4" s="1552">
        <v>0</v>
      </c>
    </row>
    <row r="5" spans="1:43" ht="21" hidden="1" customHeight="1">
      <c r="A5" s="1188"/>
      <c r="B5" s="1188"/>
      <c r="C5" s="1188"/>
      <c r="D5" s="1188"/>
      <c r="E5" s="5496"/>
      <c r="F5" s="5496"/>
      <c r="G5" s="5496"/>
      <c r="H5" s="5495">
        <v>1</v>
      </c>
      <c r="I5" s="1188"/>
      <c r="J5" s="1188"/>
      <c r="K5" s="1188"/>
      <c r="L5" s="1231"/>
      <c r="M5" s="1531"/>
      <c r="N5" s="1531"/>
      <c r="O5" s="1531"/>
      <c r="P5" s="1333"/>
      <c r="Q5" s="1332"/>
      <c r="R5" s="291"/>
      <c r="S5" s="1873" t="e">
        <f>INDEX(PT_DIFFERENTIATION_NUM_IST_TE,MATCH(D5,PT_DIFFERENTIATION_IST_TE_ID,0))</f>
        <v>#N/A</v>
      </c>
      <c r="T5" s="248" t="s">
        <v>494</v>
      </c>
      <c r="U5" s="238"/>
      <c r="V5" s="5464"/>
      <c r="W5" s="5464"/>
      <c r="X5" s="5464"/>
      <c r="Y5" s="5464"/>
      <c r="Z5" s="5464"/>
      <c r="AA5" s="5465"/>
      <c r="AB5" s="1867"/>
      <c r="AC5" s="5464" t="e">
        <f>INDEX(PT_DIFFERENTIATION_IST_TE,MATCH(D5,PT_DIFFERENTIATION_IST_TE_ID,0))</f>
        <v>#N/A</v>
      </c>
      <c r="AD5" s="5464"/>
      <c r="AE5" s="5464"/>
      <c r="AF5" s="5464"/>
      <c r="AG5" s="5464"/>
      <c r="AH5" s="5464"/>
      <c r="AI5" s="5464"/>
      <c r="AJ5" s="5465"/>
      <c r="AK5" s="1179" t="s">
        <v>495</v>
      </c>
      <c r="AM5" s="1545"/>
      <c r="AN5" s="1545" t="str">
        <f t="shared" si="0"/>
        <v xml:space="preserve">Источник тепловой энергии  </v>
      </c>
      <c r="AO5" s="1545"/>
      <c r="AP5" s="1545"/>
      <c r="AQ5" s="1552">
        <v>0</v>
      </c>
    </row>
    <row r="6" spans="1:43" s="4275" customFormat="1" ht="0.75" hidden="1" customHeight="1">
      <c r="A6" s="1296"/>
      <c r="B6" s="1296"/>
      <c r="C6" s="1296"/>
      <c r="D6" s="1296"/>
      <c r="E6" s="5496"/>
      <c r="F6" s="5496"/>
      <c r="G6" s="5496"/>
      <c r="H6" s="5496"/>
      <c r="I6" s="5328" t="e">
        <f>S5&amp;".1"</f>
        <v>#N/A</v>
      </c>
      <c r="J6" s="1296"/>
      <c r="K6" s="1296"/>
      <c r="L6" s="1302" t="s">
        <v>496</v>
      </c>
      <c r="M6" s="1167"/>
      <c r="N6" s="1167"/>
      <c r="O6" s="1167"/>
      <c r="P6" s="5473">
        <v>1</v>
      </c>
      <c r="Q6" s="1869"/>
      <c r="R6" s="294"/>
      <c r="S6" s="967"/>
      <c r="T6" s="1304"/>
      <c r="U6" s="1305"/>
      <c r="V6" s="5501"/>
      <c r="W6" s="5501"/>
      <c r="X6" s="5501"/>
      <c r="Y6" s="5501"/>
      <c r="Z6" s="5501"/>
      <c r="AA6" s="5502"/>
      <c r="AB6" s="1875"/>
      <c r="AC6" s="5501"/>
      <c r="AD6" s="5501"/>
      <c r="AE6" s="5501"/>
      <c r="AF6" s="5501"/>
      <c r="AG6" s="5501"/>
      <c r="AH6" s="5501"/>
      <c r="AI6" s="5501"/>
      <c r="AJ6" s="5502"/>
      <c r="AK6" s="1306"/>
      <c r="AM6" s="1545"/>
      <c r="AN6" s="1545" t="str">
        <f t="shared" si="0"/>
        <v/>
      </c>
      <c r="AO6" s="1545"/>
      <c r="AP6" s="1545"/>
      <c r="AQ6" s="1557">
        <v>0</v>
      </c>
    </row>
    <row r="7" spans="1:43" s="4275" customFormat="1" ht="0.75" hidden="1" customHeight="1">
      <c r="A7" s="1296"/>
      <c r="B7" s="1296"/>
      <c r="C7" s="1296"/>
      <c r="D7" s="1296"/>
      <c r="E7" s="5496"/>
      <c r="F7" s="5496"/>
      <c r="G7" s="5496"/>
      <c r="H7" s="5496"/>
      <c r="I7" s="5309"/>
      <c r="J7" s="5328" t="e">
        <f>S5&amp;".1"</f>
        <v>#N/A</v>
      </c>
      <c r="K7" s="1296"/>
      <c r="L7" s="1302"/>
      <c r="M7" s="1167"/>
      <c r="N7" s="1167"/>
      <c r="O7" s="1167"/>
      <c r="P7" s="5473"/>
      <c r="Q7" s="5473">
        <v>1</v>
      </c>
      <c r="R7" s="295"/>
      <c r="S7" s="967"/>
      <c r="T7" s="1320"/>
      <c r="U7" s="1305"/>
      <c r="V7" s="5501"/>
      <c r="W7" s="5501"/>
      <c r="X7" s="5501"/>
      <c r="Y7" s="5501"/>
      <c r="Z7" s="5501"/>
      <c r="AA7" s="5502"/>
      <c r="AB7" s="1875"/>
      <c r="AC7" s="5501"/>
      <c r="AD7" s="5501"/>
      <c r="AE7" s="5501"/>
      <c r="AF7" s="5501"/>
      <c r="AG7" s="5501"/>
      <c r="AH7" s="5501"/>
      <c r="AI7" s="5501"/>
      <c r="AJ7" s="5502"/>
      <c r="AK7" s="1306"/>
      <c r="AM7" s="1545"/>
      <c r="AN7" s="1545" t="str">
        <f t="shared" si="0"/>
        <v/>
      </c>
      <c r="AO7" s="1545"/>
      <c r="AP7" s="1545"/>
      <c r="AQ7" s="1557">
        <v>0</v>
      </c>
    </row>
    <row r="8" spans="1:43" ht="21" hidden="1" customHeight="1">
      <c r="A8" s="1188"/>
      <c r="B8" s="1188"/>
      <c r="C8" s="1188"/>
      <c r="D8" s="1188"/>
      <c r="E8" s="5496"/>
      <c r="F8" s="5496"/>
      <c r="G8" s="5496"/>
      <c r="H8" s="5496"/>
      <c r="I8" s="5309"/>
      <c r="J8" s="5309"/>
      <c r="K8" s="1906" t="e">
        <f>S5&amp;".1"</f>
        <v>#N/A</v>
      </c>
      <c r="L8" s="1231"/>
      <c r="P8" s="5473"/>
      <c r="Q8" s="5473"/>
      <c r="R8" s="1910">
        <v>1</v>
      </c>
      <c r="S8" s="1908" t="e">
        <f>$K8</f>
        <v>#N/A</v>
      </c>
      <c r="T8" s="1909"/>
      <c r="U8" s="238"/>
      <c r="V8" s="689"/>
      <c r="W8" s="1178"/>
      <c r="X8" s="1907"/>
      <c r="Y8" s="1905" t="s">
        <v>66</v>
      </c>
      <c r="Z8" s="1907"/>
      <c r="AA8" s="1905" t="s">
        <v>66</v>
      </c>
      <c r="AB8" s="1911"/>
      <c r="AC8" s="1912" t="s">
        <v>28</v>
      </c>
      <c r="AD8" s="689"/>
      <c r="AE8" s="1178"/>
      <c r="AF8" s="1870"/>
      <c r="AG8" s="1857" t="s">
        <v>66</v>
      </c>
      <c r="AH8" s="1870"/>
      <c r="AI8" s="1857" t="s">
        <v>66</v>
      </c>
      <c r="AJ8" s="1269"/>
      <c r="AK8" s="5492" t="s">
        <v>554</v>
      </c>
      <c r="AL8" s="1557" t="e">
        <f ca="1">STRCHECKDATE(#REF!)</f>
        <v>#NAME?</v>
      </c>
      <c r="AM8" s="1545"/>
      <c r="AN8" s="1545" t="str">
        <f t="shared" si="0"/>
        <v/>
      </c>
      <c r="AO8" s="1545"/>
      <c r="AP8" s="1545"/>
      <c r="AQ8" s="1552">
        <v>0</v>
      </c>
    </row>
    <row r="9" spans="1:43" ht="11.25" hidden="1" customHeight="1">
      <c r="A9" s="1188"/>
      <c r="B9" s="1188"/>
      <c r="C9" s="1188"/>
      <c r="D9" s="1188"/>
      <c r="E9" s="5496"/>
      <c r="F9" s="5496"/>
      <c r="G9" s="5496"/>
      <c r="H9" s="5496"/>
      <c r="I9" s="5309"/>
      <c r="J9" s="5328"/>
      <c r="K9" s="1188"/>
      <c r="L9" s="1231"/>
      <c r="P9" s="5473"/>
      <c r="Q9" s="5473"/>
      <c r="R9" s="294"/>
      <c r="S9" s="1199"/>
      <c r="T9" s="225" t="s">
        <v>558</v>
      </c>
      <c r="U9" s="538"/>
      <c r="V9" s="538"/>
      <c r="W9" s="538"/>
      <c r="X9" s="538"/>
      <c r="Y9" s="538"/>
      <c r="Z9" s="538"/>
      <c r="AA9" s="538"/>
      <c r="AB9" s="538"/>
      <c r="AC9" s="538"/>
      <c r="AD9" s="538"/>
      <c r="AE9" s="538"/>
      <c r="AF9" s="538"/>
      <c r="AG9" s="538"/>
      <c r="AH9" s="538"/>
      <c r="AI9" s="538"/>
      <c r="AJ9" s="262"/>
      <c r="AK9" s="5494"/>
      <c r="AM9" s="1545"/>
      <c r="AN9" s="1545" t="str">
        <f t="shared" si="0"/>
        <v>Добавить строку</v>
      </c>
      <c r="AO9" s="1545"/>
      <c r="AP9" s="1545"/>
      <c r="AQ9" s="1552">
        <v>0</v>
      </c>
    </row>
    <row r="10" spans="1:43" s="4275" customFormat="1" ht="0.75" hidden="1" customHeight="1">
      <c r="A10" s="1296"/>
      <c r="B10" s="1296"/>
      <c r="C10" s="1296"/>
      <c r="D10" s="1296"/>
      <c r="E10" s="5496"/>
      <c r="F10" s="5496"/>
      <c r="G10" s="5496"/>
      <c r="H10" s="5496"/>
      <c r="I10" s="5328"/>
      <c r="J10" s="1296"/>
      <c r="K10" s="1296"/>
      <c r="L10" s="1302"/>
      <c r="M10" s="1167"/>
      <c r="N10" s="1167"/>
      <c r="O10" s="1167"/>
      <c r="P10" s="5473"/>
      <c r="Q10" s="1869"/>
      <c r="R10" s="294"/>
      <c r="S10" s="1307"/>
      <c r="T10" s="1308"/>
      <c r="U10" s="1309"/>
      <c r="V10" s="1309"/>
      <c r="W10" s="1309"/>
      <c r="X10" s="1309"/>
      <c r="Y10" s="1309"/>
      <c r="Z10" s="1309"/>
      <c r="AA10" s="1309"/>
      <c r="AB10" s="1309"/>
      <c r="AC10" s="1309"/>
      <c r="AD10" s="1309"/>
      <c r="AE10" s="1309"/>
      <c r="AF10" s="1309"/>
      <c r="AG10" s="1309"/>
      <c r="AH10" s="1309"/>
      <c r="AI10" s="1309"/>
      <c r="AJ10" s="1309"/>
      <c r="AK10" s="1310"/>
      <c r="AM10" s="1545"/>
      <c r="AN10" s="1545" t="str">
        <f t="shared" si="0"/>
        <v/>
      </c>
      <c r="AO10" s="1545"/>
      <c r="AP10" s="1545"/>
      <c r="AQ10" s="1557">
        <v>0</v>
      </c>
    </row>
    <row r="11" spans="1:43" s="4275" customFormat="1" ht="0.75" hidden="1" customHeight="1">
      <c r="A11" s="1296"/>
      <c r="B11" s="1296"/>
      <c r="C11" s="1296"/>
      <c r="D11" s="1296"/>
      <c r="E11" s="5496"/>
      <c r="F11" s="5496"/>
      <c r="G11" s="5496"/>
      <c r="H11" s="5495"/>
      <c r="I11" s="1296"/>
      <c r="J11" s="1296"/>
      <c r="K11" s="1296"/>
      <c r="L11" s="1302"/>
      <c r="M11" s="1299"/>
      <c r="N11" s="1299"/>
      <c r="O11" s="289"/>
      <c r="P11" s="318"/>
      <c r="Q11" s="1265"/>
      <c r="R11" s="1322"/>
      <c r="S11" s="1307"/>
      <c r="T11" s="1308"/>
      <c r="U11" s="1309"/>
      <c r="V11" s="1309"/>
      <c r="W11" s="1309"/>
      <c r="X11" s="1309"/>
      <c r="Y11" s="1309"/>
      <c r="Z11" s="1309"/>
      <c r="AA11" s="1309"/>
      <c r="AB11" s="1309"/>
      <c r="AC11" s="1309"/>
      <c r="AD11" s="1309"/>
      <c r="AE11" s="1309"/>
      <c r="AF11" s="1309"/>
      <c r="AG11" s="1309"/>
      <c r="AH11" s="1309"/>
      <c r="AI11" s="1309"/>
      <c r="AJ11" s="1309"/>
      <c r="AK11" s="1310"/>
      <c r="AM11" s="1545"/>
      <c r="AN11" s="1545" t="str">
        <f t="shared" si="0"/>
        <v/>
      </c>
      <c r="AO11" s="1545"/>
      <c r="AP11" s="1545"/>
      <c r="AQ11" s="1557">
        <v>0</v>
      </c>
    </row>
    <row r="12" spans="1:43" s="4275" customFormat="1" ht="0.75" hidden="1" customHeight="1">
      <c r="A12" s="1296"/>
      <c r="B12" s="1296"/>
      <c r="C12" s="1296"/>
      <c r="D12" s="1295"/>
      <c r="E12" s="5496"/>
      <c r="F12" s="5496"/>
      <c r="G12" s="5495"/>
      <c r="H12" s="1295"/>
      <c r="I12" s="1295"/>
      <c r="J12" s="1295"/>
      <c r="K12" s="1295"/>
      <c r="L12" s="1298"/>
      <c r="M12" s="1299"/>
      <c r="N12" s="1299"/>
      <c r="O12" s="289"/>
      <c r="P12" s="1237"/>
      <c r="Q12" s="1238"/>
      <c r="R12" s="1237"/>
      <c r="S12" s="1243"/>
      <c r="T12" s="1246" t="s">
        <v>507</v>
      </c>
      <c r="U12" s="1245"/>
      <c r="V12" s="1245"/>
      <c r="W12" s="1245"/>
      <c r="X12" s="1245"/>
      <c r="Y12" s="1245"/>
      <c r="Z12" s="1245"/>
      <c r="AA12" s="1245"/>
      <c r="AB12" s="1245"/>
      <c r="AC12" s="1245"/>
      <c r="AD12" s="1245"/>
      <c r="AE12" s="1245"/>
      <c r="AF12" s="1245"/>
      <c r="AG12" s="1245"/>
      <c r="AH12" s="1245"/>
      <c r="AI12" s="1245"/>
      <c r="AJ12" s="1245"/>
      <c r="AK12" s="1245"/>
      <c r="AM12" s="1172"/>
      <c r="AN12" s="1172" t="str">
        <f t="shared" si="0"/>
        <v>Добавить источник для дифференциации</v>
      </c>
      <c r="AO12" s="1172"/>
      <c r="AP12" s="1172"/>
      <c r="AQ12" s="1563">
        <v>0</v>
      </c>
    </row>
    <row r="13" spans="1:43" s="4275" customFormat="1" ht="0.75" hidden="1" customHeight="1">
      <c r="A13" s="1296"/>
      <c r="B13" s="1296"/>
      <c r="C13" s="1295"/>
      <c r="D13" s="1295"/>
      <c r="E13" s="5496"/>
      <c r="F13" s="5495"/>
      <c r="G13" s="1295"/>
      <c r="H13" s="1295"/>
      <c r="I13" s="1295"/>
      <c r="J13" s="1295"/>
      <c r="K13" s="1295"/>
      <c r="L13" s="1298"/>
      <c r="M13" s="1300"/>
      <c r="N13" s="1300"/>
      <c r="O13" s="289"/>
      <c r="P13" s="1237"/>
      <c r="Q13" s="1238"/>
      <c r="R13" s="1237"/>
      <c r="S13" s="1243"/>
      <c r="T13" s="1246" t="s">
        <v>312</v>
      </c>
      <c r="U13" s="1245"/>
      <c r="V13" s="1245"/>
      <c r="W13" s="1245"/>
      <c r="X13" s="1245"/>
      <c r="Y13" s="1245"/>
      <c r="Z13" s="1245"/>
      <c r="AA13" s="1245"/>
      <c r="AB13" s="1245"/>
      <c r="AC13" s="1245"/>
      <c r="AD13" s="1245"/>
      <c r="AE13" s="1245"/>
      <c r="AF13" s="1245"/>
      <c r="AG13" s="1245"/>
      <c r="AH13" s="1245"/>
      <c r="AI13" s="1245"/>
      <c r="AJ13" s="1245"/>
      <c r="AK13" s="1245"/>
      <c r="AM13" s="1172"/>
      <c r="AN13" s="1172" t="str">
        <f t="shared" si="0"/>
        <v>Добавить централизованную систему для дифференциации</v>
      </c>
      <c r="AO13" s="1172"/>
      <c r="AP13" s="1172"/>
      <c r="AQ13" s="1563">
        <v>0</v>
      </c>
    </row>
    <row r="14" spans="1:43" s="4275" customFormat="1" ht="0.75" hidden="1" customHeight="1">
      <c r="A14" s="1296"/>
      <c r="B14" s="1296"/>
      <c r="C14" s="1296"/>
      <c r="D14" s="1296"/>
      <c r="E14" s="5495"/>
      <c r="F14" s="1296"/>
      <c r="G14" s="1296"/>
      <c r="H14" s="1296"/>
      <c r="I14" s="1296"/>
      <c r="J14" s="1296"/>
      <c r="K14" s="1296"/>
      <c r="L14" s="1302"/>
      <c r="M14" s="1300"/>
      <c r="N14" s="1300"/>
      <c r="O14" s="289"/>
      <c r="P14" s="318"/>
      <c r="Q14" s="1265"/>
      <c r="R14" s="318"/>
      <c r="S14" s="1243"/>
      <c r="T14" s="1246" t="s">
        <v>360</v>
      </c>
      <c r="U14" s="1245"/>
      <c r="V14" s="1245"/>
      <c r="W14" s="1245"/>
      <c r="X14" s="1245"/>
      <c r="Y14" s="1245"/>
      <c r="Z14" s="1245"/>
      <c r="AA14" s="1245"/>
      <c r="AB14" s="1245"/>
      <c r="AC14" s="1245"/>
      <c r="AD14" s="1245"/>
      <c r="AE14" s="1245"/>
      <c r="AF14" s="1245"/>
      <c r="AG14" s="1245"/>
      <c r="AH14" s="1245"/>
      <c r="AI14" s="1245"/>
      <c r="AJ14" s="1245"/>
      <c r="AK14" s="1245"/>
      <c r="AM14" s="1545"/>
      <c r="AN14" s="1545" t="str">
        <f t="shared" si="0"/>
        <v>Добавить территорию для дифференциации</v>
      </c>
      <c r="AO14" s="1545"/>
      <c r="AP14" s="1545"/>
      <c r="AQ14" s="1557">
        <v>0</v>
      </c>
    </row>
    <row r="15" spans="1:43" ht="14.25" hidden="1" customHeight="1">
      <c r="AQ15" s="1552">
        <v>0</v>
      </c>
    </row>
    <row r="16" spans="1:43" ht="14.25" hidden="1" customHeight="1">
      <c r="AC16" s="1423"/>
      <c r="AD16" s="1324"/>
      <c r="AE16" s="1325"/>
      <c r="AF16" s="1656"/>
      <c r="AG16" s="1881" t="s">
        <v>66</v>
      </c>
      <c r="AH16" s="1656"/>
      <c r="AI16" s="1881" t="s">
        <v>66</v>
      </c>
      <c r="AQ16" s="1552">
        <v>0</v>
      </c>
    </row>
    <row r="17" spans="1:43" ht="14.25" hidden="1" customHeight="1">
      <c r="AL17" s="1562"/>
      <c r="AM17" s="1562"/>
      <c r="AN17" s="1562"/>
      <c r="AO17" s="1562"/>
      <c r="AP17" s="1562"/>
      <c r="AQ17" s="1552">
        <v>0</v>
      </c>
    </row>
    <row r="18" spans="1:43" ht="14.25" hidden="1" customHeight="1">
      <c r="O18" s="1266" t="s">
        <v>508</v>
      </c>
      <c r="X18" s="1266"/>
      <c r="Z18" s="1266"/>
      <c r="AF18" s="1266"/>
      <c r="AH18" s="1266"/>
      <c r="AL18" s="1562"/>
      <c r="AM18" s="1562"/>
      <c r="AN18" s="1562"/>
      <c r="AO18" s="1562"/>
      <c r="AP18" s="1562"/>
      <c r="AQ18" s="1552">
        <v>0</v>
      </c>
    </row>
    <row r="19" spans="1:43" ht="14.25" hidden="1" customHeight="1">
      <c r="AL19" s="1562"/>
      <c r="AM19" s="1562"/>
      <c r="AN19" s="1562"/>
      <c r="AO19" s="1562"/>
      <c r="AP19" s="1562"/>
      <c r="AQ19" s="1552">
        <v>0</v>
      </c>
    </row>
    <row r="20" spans="1:43" s="4305" customFormat="1" ht="14.25" hidden="1" customHeight="1">
      <c r="A20" s="1886"/>
      <c r="B20" s="1886"/>
      <c r="C20" s="1886"/>
      <c r="D20" s="1886"/>
      <c r="E20" s="1886"/>
      <c r="F20" s="1886"/>
      <c r="G20" s="1886"/>
      <c r="H20" s="1886"/>
      <c r="I20" s="1886"/>
      <c r="J20" s="1886"/>
      <c r="K20" s="1886"/>
      <c r="L20" s="1886"/>
      <c r="M20" s="1887"/>
      <c r="N20" s="1887"/>
      <c r="O20" s="1888" t="s">
        <v>509</v>
      </c>
      <c r="P20" s="1429"/>
      <c r="Q20" s="1431"/>
      <c r="R20" s="1431"/>
      <c r="Y20" s="1428" t="s">
        <v>511</v>
      </c>
      <c r="AA20" s="1428" t="s">
        <v>512</v>
      </c>
      <c r="AC20" s="1428" t="s">
        <v>560</v>
      </c>
      <c r="AG20" s="1428" t="s">
        <v>511</v>
      </c>
      <c r="AI20" s="1428" t="s">
        <v>512</v>
      </c>
      <c r="AL20" s="1432"/>
      <c r="AM20" s="1432"/>
      <c r="AN20" s="1432"/>
      <c r="AO20" s="1432"/>
      <c r="AP20" s="1432"/>
      <c r="AQ20" s="1428">
        <v>0</v>
      </c>
    </row>
    <row r="21" spans="1:43" ht="14.25" hidden="1" customHeight="1">
      <c r="O21" s="1231"/>
      <c r="AL21" s="1562"/>
      <c r="AM21" s="1562"/>
      <c r="AN21" s="1562"/>
      <c r="AO21" s="1562"/>
      <c r="AP21" s="1562"/>
      <c r="AQ21" s="1552">
        <v>0</v>
      </c>
    </row>
    <row r="22" spans="1:43" ht="14.25" hidden="1" customHeight="1">
      <c r="O22" s="1231"/>
      <c r="AL22" s="1562"/>
      <c r="AM22" s="1562"/>
      <c r="AN22" s="1562"/>
      <c r="AO22" s="1562"/>
      <c r="AP22" s="1562"/>
      <c r="AQ22" s="1552">
        <v>0</v>
      </c>
    </row>
    <row r="23" spans="1:43" ht="14.65" customHeight="1">
      <c r="Q23" s="229"/>
      <c r="R23" s="314"/>
      <c r="S23" s="1196"/>
      <c r="T23" s="395"/>
      <c r="U23" s="395"/>
      <c r="V23" s="1556"/>
      <c r="W23" s="1556"/>
      <c r="X23" s="1556"/>
      <c r="Y23" s="1556"/>
      <c r="Z23" s="1556"/>
      <c r="AA23" s="1556"/>
      <c r="AB23" s="1556"/>
      <c r="AC23" s="1556"/>
      <c r="AD23" s="1556"/>
      <c r="AE23" s="1556"/>
      <c r="AF23" s="1556"/>
      <c r="AG23" s="1556"/>
      <c r="AH23" s="1556"/>
      <c r="AI23" s="1556"/>
      <c r="AQ23" s="1552">
        <v>14</v>
      </c>
    </row>
    <row r="24" spans="1:43" ht="39.75" customHeight="1">
      <c r="Q24" s="229"/>
      <c r="R24" s="314"/>
      <c r="S24" s="54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5450"/>
      <c r="U24" s="5450"/>
      <c r="V24" s="5450"/>
      <c r="W24" s="5450"/>
      <c r="X24" s="5450"/>
      <c r="Y24" s="5450"/>
      <c r="Z24" s="5450"/>
      <c r="AA24" s="5450"/>
      <c r="AB24" s="5450"/>
      <c r="AC24" s="5450"/>
      <c r="AD24" s="5450"/>
      <c r="AE24" s="5450"/>
      <c r="AF24" s="5450"/>
      <c r="AG24" s="5450"/>
      <c r="AH24" s="5450"/>
      <c r="AI24" s="1164"/>
      <c r="AQ24" s="1552">
        <v>38</v>
      </c>
    </row>
    <row r="25" spans="1:43" ht="14.65" customHeight="1">
      <c r="Q25" s="229"/>
      <c r="R25" s="314"/>
      <c r="S25" s="5423" t="str">
        <f>IF(org=0,"Не определено",org)</f>
        <v>КГУП "Примтеплоэнерго"</v>
      </c>
      <c r="T25" s="5423"/>
      <c r="U25" s="5423"/>
      <c r="V25" s="5423"/>
      <c r="W25" s="5423"/>
      <c r="X25" s="5423"/>
      <c r="Y25" s="5423"/>
      <c r="Z25" s="5423"/>
      <c r="AA25" s="5423"/>
      <c r="AB25" s="5423"/>
      <c r="AC25" s="5423"/>
      <c r="AD25" s="5423"/>
      <c r="AE25" s="5423"/>
      <c r="AF25" s="5423"/>
      <c r="AG25" s="5423"/>
      <c r="AH25" s="5423"/>
      <c r="AI25" s="1164"/>
      <c r="AQ25" s="1552">
        <v>14</v>
      </c>
    </row>
    <row r="26" spans="1:43" ht="14.25" hidden="1" customHeight="1">
      <c r="Q26" s="229"/>
      <c r="R26" s="314"/>
      <c r="S26" s="1196"/>
      <c r="T26" s="395"/>
      <c r="U26" s="395"/>
      <c r="V26" s="260"/>
      <c r="W26" s="260"/>
      <c r="X26" s="260"/>
      <c r="Y26" s="260"/>
      <c r="Z26" s="260"/>
      <c r="AA26" s="260"/>
      <c r="AB26" s="260"/>
      <c r="AC26" s="260"/>
      <c r="AD26" s="260"/>
      <c r="AE26" s="260"/>
      <c r="AF26" s="260"/>
      <c r="AG26" s="260"/>
      <c r="AH26" s="260"/>
      <c r="AI26" s="260"/>
      <c r="AJ26" s="1556"/>
      <c r="AQ26" s="1552">
        <v>0</v>
      </c>
    </row>
    <row r="27" spans="1:43" s="4284" customFormat="1" ht="25.5" hidden="1" customHeight="1">
      <c r="A27" s="1169"/>
      <c r="B27" s="1169"/>
      <c r="C27" s="1169"/>
      <c r="D27" s="1169"/>
      <c r="E27" s="1169"/>
      <c r="F27" s="1169"/>
      <c r="G27" s="1169"/>
      <c r="H27" s="1169"/>
      <c r="I27" s="1169"/>
      <c r="J27" s="1169"/>
      <c r="K27" s="1169"/>
      <c r="L27" s="1301"/>
      <c r="M27" s="1169"/>
      <c r="N27" s="1169"/>
      <c r="O27" s="1169"/>
      <c r="P27" s="1289"/>
      <c r="Q27" s="1289"/>
      <c r="S27" s="5460" t="s">
        <v>42</v>
      </c>
      <c r="T27" s="5460"/>
      <c r="U27" s="1293"/>
      <c r="V27" s="5462" t="str">
        <f>IF(TITLE_NAME_OR_PR_CHANGE="",IF(TITLE_NAME_OR_PR="","",TITLE_NAME_OR_PR),TITLE_NAME_OR_PR_CHANGE)</f>
        <v/>
      </c>
      <c r="W27" s="5462"/>
      <c r="X27" s="5462"/>
      <c r="Y27" s="5462"/>
      <c r="Z27" s="5462"/>
      <c r="AA27" s="1556"/>
      <c r="AB27" s="1556"/>
      <c r="AC27" s="5462"/>
      <c r="AD27" s="5462"/>
      <c r="AE27" s="5462"/>
      <c r="AF27" s="5462"/>
      <c r="AG27" s="5462"/>
      <c r="AH27" s="5462"/>
      <c r="AI27" s="1556"/>
      <c r="AJ27" s="1556"/>
      <c r="AK27" s="218"/>
      <c r="AL27" s="306"/>
      <c r="AM27" s="306"/>
      <c r="AN27" s="306"/>
      <c r="AO27" s="306"/>
      <c r="AP27" s="306"/>
      <c r="AQ27" s="356">
        <v>0</v>
      </c>
    </row>
    <row r="28" spans="1:43" s="4284" customFormat="1" ht="18.75" hidden="1" customHeight="1">
      <c r="A28" s="1169"/>
      <c r="B28" s="1169"/>
      <c r="C28" s="1169"/>
      <c r="D28" s="1169"/>
      <c r="E28" s="1169"/>
      <c r="F28" s="1169"/>
      <c r="G28" s="1169"/>
      <c r="H28" s="1169"/>
      <c r="I28" s="1169"/>
      <c r="J28" s="1169"/>
      <c r="K28" s="1169"/>
      <c r="L28" s="1301"/>
      <c r="M28" s="1169"/>
      <c r="N28" s="1169"/>
      <c r="O28" s="1169"/>
      <c r="P28" s="1289"/>
      <c r="Q28" s="1289"/>
      <c r="S28" s="5460" t="s">
        <v>514</v>
      </c>
      <c r="T28" s="5460"/>
      <c r="U28" s="1293"/>
      <c r="V28" s="5461">
        <f>IF(TITLE_DATE_PR_CHANGE="",IF(TITLE_DATE_PR="","",TITLE_DATE_PR),TITLE_DATE_PR_CHANGE)</f>
        <v>45649.605891203704</v>
      </c>
      <c r="W28" s="5461"/>
      <c r="X28" s="5461"/>
      <c r="Y28" s="5461"/>
      <c r="Z28" s="5461"/>
      <c r="AA28" s="1556"/>
      <c r="AB28" s="1556"/>
      <c r="AC28" s="5461"/>
      <c r="AD28" s="5461"/>
      <c r="AE28" s="5461"/>
      <c r="AF28" s="5461"/>
      <c r="AG28" s="5461"/>
      <c r="AH28" s="5461"/>
      <c r="AI28" s="1556"/>
      <c r="AJ28" s="1556"/>
      <c r="AK28" s="218"/>
      <c r="AL28" s="306"/>
      <c r="AM28" s="306"/>
      <c r="AN28" s="306"/>
      <c r="AO28" s="306"/>
      <c r="AP28" s="306"/>
      <c r="AQ28" s="356">
        <v>0</v>
      </c>
    </row>
    <row r="29" spans="1:43" s="4284" customFormat="1" ht="18.75" hidden="1" customHeight="1">
      <c r="A29" s="1169"/>
      <c r="B29" s="1169"/>
      <c r="C29" s="1169"/>
      <c r="D29" s="1169"/>
      <c r="E29" s="1169"/>
      <c r="F29" s="1169"/>
      <c r="G29" s="1169"/>
      <c r="H29" s="1169"/>
      <c r="I29" s="1169"/>
      <c r="J29" s="1169"/>
      <c r="K29" s="1169"/>
      <c r="L29" s="1301"/>
      <c r="M29" s="1169"/>
      <c r="N29" s="1169"/>
      <c r="O29" s="1169"/>
      <c r="P29" s="1289"/>
      <c r="Q29" s="1289"/>
      <c r="S29" s="5460" t="s">
        <v>515</v>
      </c>
      <c r="T29" s="5460"/>
      <c r="U29" s="1293"/>
      <c r="V29" s="5462" t="str">
        <f>IF(TITLE_NUMBER_PR_CHANGE="",IF(TITLE_NUMBER_PR="","",TITLE_NUMBER_PR),TITLE_NUMBER_PR_CHANGE)</f>
        <v>27-6414</v>
      </c>
      <c r="W29" s="5462"/>
      <c r="X29" s="5462"/>
      <c r="Y29" s="5462"/>
      <c r="Z29" s="5462"/>
      <c r="AA29" s="1556"/>
      <c r="AB29" s="1556"/>
      <c r="AC29" s="5462"/>
      <c r="AD29" s="5462"/>
      <c r="AE29" s="5462"/>
      <c r="AF29" s="5462"/>
      <c r="AG29" s="5462"/>
      <c r="AH29" s="5462"/>
      <c r="AI29" s="1556"/>
      <c r="AJ29" s="1556"/>
      <c r="AK29" s="218"/>
      <c r="AL29" s="306"/>
      <c r="AM29" s="306"/>
      <c r="AN29" s="306"/>
      <c r="AO29" s="306"/>
      <c r="AP29" s="306"/>
      <c r="AQ29" s="356">
        <v>0</v>
      </c>
    </row>
    <row r="30" spans="1:43" s="4284" customFormat="1" ht="18.75" hidden="1" customHeight="1">
      <c r="A30" s="1169"/>
      <c r="B30" s="1169"/>
      <c r="C30" s="1169"/>
      <c r="D30" s="1169"/>
      <c r="E30" s="1169"/>
      <c r="F30" s="1169"/>
      <c r="G30" s="1169"/>
      <c r="H30" s="1169"/>
      <c r="I30" s="1169"/>
      <c r="J30" s="1169"/>
      <c r="K30" s="1169"/>
      <c r="L30" s="1301"/>
      <c r="M30" s="1169"/>
      <c r="N30" s="1169"/>
      <c r="O30" s="1169"/>
      <c r="P30" s="1289"/>
      <c r="Q30" s="1289"/>
      <c r="S30" s="5460" t="s">
        <v>43</v>
      </c>
      <c r="T30" s="5460"/>
      <c r="U30" s="1293"/>
      <c r="V30" s="5462" t="str">
        <f>IF(TITLE_IST_PUB_CHANGE="",IF(TITLE_IST_PUB="","",TITLE_IST_PUB),TITLE_IST_PUB_CHANGE)</f>
        <v/>
      </c>
      <c r="W30" s="5462"/>
      <c r="X30" s="5462"/>
      <c r="Y30" s="5462"/>
      <c r="Z30" s="5462"/>
      <c r="AA30" s="1556"/>
      <c r="AB30" s="1556"/>
      <c r="AC30" s="5462"/>
      <c r="AD30" s="5462"/>
      <c r="AE30" s="5462"/>
      <c r="AF30" s="5462"/>
      <c r="AG30" s="5462"/>
      <c r="AH30" s="5462"/>
      <c r="AI30" s="1556"/>
      <c r="AJ30" s="1556"/>
      <c r="AK30" s="218"/>
      <c r="AL30" s="306"/>
      <c r="AM30" s="306"/>
      <c r="AN30" s="306"/>
      <c r="AO30" s="306"/>
      <c r="AP30" s="306"/>
      <c r="AQ30" s="356">
        <v>0</v>
      </c>
    </row>
    <row r="31" spans="1:43" ht="14.25" hidden="1" customHeight="1">
      <c r="Q31" s="229"/>
      <c r="R31" s="314"/>
      <c r="S31" s="1196"/>
      <c r="T31" s="395"/>
      <c r="U31" s="395"/>
      <c r="V31" s="260"/>
      <c r="W31" s="260"/>
      <c r="X31" s="260"/>
      <c r="Y31" s="260"/>
      <c r="Z31" s="260"/>
      <c r="AA31" s="260"/>
      <c r="AB31" s="260"/>
      <c r="AC31" s="260"/>
      <c r="AD31" s="260"/>
      <c r="AE31" s="260"/>
      <c r="AF31" s="260"/>
      <c r="AG31" s="260"/>
      <c r="AH31" s="260"/>
      <c r="AI31" s="260"/>
      <c r="AJ31" s="1556"/>
      <c r="AQ31" s="1552">
        <v>0</v>
      </c>
    </row>
    <row r="32" spans="1:43" s="4284" customFormat="1" ht="18.75" hidden="1" customHeight="1">
      <c r="A32" s="1169"/>
      <c r="B32" s="1169"/>
      <c r="C32" s="1169"/>
      <c r="D32" s="1169"/>
      <c r="E32" s="1169"/>
      <c r="F32" s="1169"/>
      <c r="G32" s="1169"/>
      <c r="H32" s="1169"/>
      <c r="I32" s="1169"/>
      <c r="J32" s="1169"/>
      <c r="K32" s="1169"/>
      <c r="L32" s="1301"/>
      <c r="M32" s="1169"/>
      <c r="N32" s="1169"/>
      <c r="O32" s="1169"/>
      <c r="P32" s="1289"/>
      <c r="Q32" s="1289"/>
      <c r="S32" s="5460" t="s">
        <v>514</v>
      </c>
      <c r="T32" s="5460"/>
      <c r="U32" s="1293"/>
      <c r="V32" s="5461">
        <f>IF(TITLE_DATE_PR_CHANGE="",IF(TITLE_DATE_PR="","",TITLE_DATE_PR),TITLE_DATE_PR_CHANGE)</f>
        <v>45649.605891203704</v>
      </c>
      <c r="W32" s="5461"/>
      <c r="X32" s="5461"/>
      <c r="Y32" s="5461"/>
      <c r="Z32" s="5461"/>
      <c r="AA32" s="1556"/>
      <c r="AB32" s="1556"/>
      <c r="AC32" s="5461"/>
      <c r="AD32" s="5461"/>
      <c r="AE32" s="5461"/>
      <c r="AF32" s="5461"/>
      <c r="AG32" s="5461"/>
      <c r="AH32" s="5461"/>
      <c r="AI32" s="1556"/>
      <c r="AJ32" s="1556"/>
      <c r="AK32" s="218"/>
      <c r="AL32" s="306"/>
      <c r="AM32" s="306"/>
      <c r="AN32" s="306"/>
      <c r="AO32" s="306"/>
      <c r="AP32" s="306"/>
      <c r="AQ32" s="356">
        <v>0</v>
      </c>
    </row>
    <row r="33" spans="1:43" s="4284" customFormat="1" ht="18" hidden="1" customHeight="1">
      <c r="A33" s="1169"/>
      <c r="B33" s="1169"/>
      <c r="C33" s="1169"/>
      <c r="D33" s="1169"/>
      <c r="E33" s="1169"/>
      <c r="F33" s="1169"/>
      <c r="G33" s="1169"/>
      <c r="H33" s="1169"/>
      <c r="I33" s="1169"/>
      <c r="J33" s="1169"/>
      <c r="K33" s="1169"/>
      <c r="L33" s="1301"/>
      <c r="M33" s="1169"/>
      <c r="N33" s="1169"/>
      <c r="O33" s="1169"/>
      <c r="P33" s="1289"/>
      <c r="Q33" s="1289"/>
      <c r="S33" s="5460" t="s">
        <v>515</v>
      </c>
      <c r="T33" s="5460"/>
      <c r="U33" s="1293"/>
      <c r="V33" s="5462" t="str">
        <f>IF(TITLE_NUMBER_PR_CHANGE="",IF(TITLE_NUMBER_PR="","",TITLE_NUMBER_PR),TITLE_NUMBER_PR_CHANGE)</f>
        <v>27-6414</v>
      </c>
      <c r="W33" s="5462"/>
      <c r="X33" s="5462"/>
      <c r="Y33" s="5462"/>
      <c r="Z33" s="5462"/>
      <c r="AA33" s="1556"/>
      <c r="AB33" s="1556"/>
      <c r="AC33" s="5462"/>
      <c r="AD33" s="5462"/>
      <c r="AE33" s="5462"/>
      <c r="AF33" s="5462"/>
      <c r="AG33" s="5462"/>
      <c r="AH33" s="5462"/>
      <c r="AI33" s="1556"/>
      <c r="AJ33" s="1556"/>
      <c r="AK33" s="218"/>
      <c r="AL33" s="306"/>
      <c r="AM33" s="306"/>
      <c r="AN33" s="306"/>
      <c r="AO33" s="306"/>
      <c r="AP33" s="306"/>
      <c r="AQ33" s="356">
        <v>0</v>
      </c>
    </row>
    <row r="34" spans="1:43" s="4284" customFormat="1" ht="1.1499999999999999" customHeight="1">
      <c r="A34" s="1169"/>
      <c r="B34" s="1169"/>
      <c r="C34" s="1169"/>
      <c r="D34" s="1169"/>
      <c r="E34" s="1169"/>
      <c r="F34" s="1169"/>
      <c r="G34" s="1169"/>
      <c r="H34" s="1169"/>
      <c r="I34" s="1169"/>
      <c r="J34" s="1169"/>
      <c r="K34" s="1169"/>
      <c r="L34" s="1301"/>
      <c r="M34" s="1169"/>
      <c r="N34" s="1169"/>
      <c r="O34" s="1169"/>
      <c r="P34" s="1289"/>
      <c r="Q34" s="1289"/>
      <c r="S34" s="1556"/>
      <c r="T34" s="1556"/>
      <c r="U34" s="1885"/>
      <c r="V34" s="1556"/>
      <c r="W34" s="1556"/>
      <c r="X34" s="1556"/>
      <c r="Y34" s="1556"/>
      <c r="Z34" s="1556"/>
      <c r="AA34" s="1563" t="s">
        <v>518</v>
      </c>
      <c r="AB34" s="1563"/>
      <c r="AC34" s="1556"/>
      <c r="AD34" s="1556"/>
      <c r="AE34" s="1556"/>
      <c r="AF34" s="1556"/>
      <c r="AG34" s="1556"/>
      <c r="AH34" s="1556"/>
      <c r="AI34" s="1563" t="s">
        <v>518</v>
      </c>
      <c r="AL34" s="306"/>
      <c r="AM34" s="306"/>
      <c r="AN34" s="306"/>
      <c r="AO34" s="306"/>
      <c r="AP34" s="306"/>
      <c r="AQ34" s="356">
        <v>1</v>
      </c>
    </row>
    <row r="35" spans="1:43" ht="14.65" customHeight="1">
      <c r="Q35" s="229"/>
      <c r="R35" s="314"/>
      <c r="S35" s="1196"/>
      <c r="T35" s="395"/>
      <c r="U35" s="1165"/>
      <c r="V35" s="5481"/>
      <c r="W35" s="5481"/>
      <c r="X35" s="5481"/>
      <c r="Y35" s="5481"/>
      <c r="Z35" s="5481"/>
      <c r="AA35" s="5481"/>
      <c r="AB35" s="1872"/>
      <c r="AC35" s="5481"/>
      <c r="AD35" s="5481"/>
      <c r="AE35" s="5481"/>
      <c r="AF35" s="5481"/>
      <c r="AG35" s="5481"/>
      <c r="AH35" s="5481"/>
      <c r="AI35" s="5481"/>
      <c r="AQ35" s="1552">
        <v>14</v>
      </c>
    </row>
    <row r="36" spans="1:43" ht="14.65" customHeight="1">
      <c r="Q36" s="229"/>
      <c r="R36" s="314"/>
      <c r="S36" s="5328" t="s">
        <v>393</v>
      </c>
      <c r="T36" s="5328"/>
      <c r="U36" s="5328"/>
      <c r="V36" s="5328"/>
      <c r="W36" s="5328"/>
      <c r="X36" s="5328"/>
      <c r="Y36" s="5328"/>
      <c r="Z36" s="5328"/>
      <c r="AA36" s="5403"/>
      <c r="AB36" s="5403"/>
      <c r="AC36" s="5403"/>
      <c r="AD36" s="5328"/>
      <c r="AE36" s="5328"/>
      <c r="AF36" s="5328"/>
      <c r="AG36" s="5328"/>
      <c r="AH36" s="5328"/>
      <c r="AI36" s="5328"/>
      <c r="AJ36" s="5328"/>
      <c r="AK36" s="5328" t="s">
        <v>394</v>
      </c>
      <c r="AQ36" s="1552">
        <v>14</v>
      </c>
    </row>
    <row r="37" spans="1:43" ht="14.65" customHeight="1">
      <c r="Q37" s="229"/>
      <c r="R37" s="314"/>
      <c r="S37" s="5482" t="s">
        <v>88</v>
      </c>
      <c r="T37" s="5431" t="s">
        <v>589</v>
      </c>
      <c r="U37" s="275"/>
      <c r="V37" s="5484"/>
      <c r="W37" s="5484"/>
      <c r="X37" s="5484"/>
      <c r="Y37" s="5484"/>
      <c r="Z37" s="5484"/>
      <c r="AA37" s="5431" t="s">
        <v>521</v>
      </c>
      <c r="AB37" s="5430" t="s">
        <v>590</v>
      </c>
      <c r="AC37" s="5430" t="s">
        <v>564</v>
      </c>
      <c r="AD37" s="5499" t="s">
        <v>520</v>
      </c>
      <c r="AE37" s="5499"/>
      <c r="AF37" s="5484"/>
      <c r="AG37" s="5484"/>
      <c r="AH37" s="5485"/>
      <c r="AI37" s="5486" t="s">
        <v>521</v>
      </c>
      <c r="AJ37" s="5489" t="s">
        <v>523</v>
      </c>
      <c r="AK37" s="5328"/>
      <c r="AQ37" s="1552">
        <v>14</v>
      </c>
    </row>
    <row r="38" spans="1:43" ht="35.65" customHeight="1">
      <c r="Q38" s="229"/>
      <c r="R38" s="314"/>
      <c r="S38" s="5482"/>
      <c r="T38" s="5431"/>
      <c r="U38" s="956"/>
      <c r="V38" s="5308" t="s">
        <v>567</v>
      </c>
      <c r="W38" s="5328"/>
      <c r="X38" s="5404" t="s">
        <v>527</v>
      </c>
      <c r="Y38" s="5511"/>
      <c r="Z38" s="5511"/>
      <c r="AA38" s="5431"/>
      <c r="AB38" s="5430"/>
      <c r="AC38" s="5430"/>
      <c r="AD38" s="5308" t="s">
        <v>567</v>
      </c>
      <c r="AE38" s="5328"/>
      <c r="AF38" s="5511" t="s">
        <v>527</v>
      </c>
      <c r="AG38" s="5511"/>
      <c r="AH38" s="5405"/>
      <c r="AI38" s="5487"/>
      <c r="AJ38" s="5490"/>
      <c r="AK38" s="5328"/>
      <c r="AQ38" s="1552">
        <v>34</v>
      </c>
    </row>
    <row r="39" spans="1:43" ht="14.65" customHeight="1">
      <c r="Q39" s="229"/>
      <c r="R39" s="314"/>
      <c r="S39" s="5482"/>
      <c r="T39" s="5431"/>
      <c r="U39" s="956"/>
      <c r="V39" s="5535" t="str">
        <f>IF($AD$39&lt;&gt;"",$AD$39,"")</f>
        <v/>
      </c>
      <c r="W39" s="5535"/>
      <c r="X39" s="5409"/>
      <c r="Y39" s="5512"/>
      <c r="Z39" s="5512"/>
      <c r="AA39" s="5431"/>
      <c r="AB39" s="5430"/>
      <c r="AC39" s="5430"/>
      <c r="AD39" s="5544"/>
      <c r="AE39" s="5534"/>
      <c r="AF39" s="5512"/>
      <c r="AG39" s="5512"/>
      <c r="AH39" s="5410"/>
      <c r="AI39" s="5487"/>
      <c r="AJ39" s="5490"/>
      <c r="AK39" s="5328"/>
      <c r="AQ39" s="1552">
        <v>14</v>
      </c>
    </row>
    <row r="40" spans="1:43" ht="14.65" customHeight="1">
      <c r="A40" s="1187"/>
      <c r="B40" s="1187" t="s">
        <v>167</v>
      </c>
      <c r="C40" s="1187" t="s">
        <v>168</v>
      </c>
      <c r="D40" s="1187" t="s">
        <v>169</v>
      </c>
      <c r="E40" s="1231" t="s">
        <v>528</v>
      </c>
      <c r="F40" s="1231" t="s">
        <v>529</v>
      </c>
      <c r="G40" s="1231" t="s">
        <v>530</v>
      </c>
      <c r="H40" s="1231" t="s">
        <v>531</v>
      </c>
      <c r="I40" s="1231" t="s">
        <v>532</v>
      </c>
      <c r="J40" s="1231" t="s">
        <v>533</v>
      </c>
      <c r="K40" s="1231" t="s">
        <v>534</v>
      </c>
      <c r="L40" s="1231" t="s">
        <v>509</v>
      </c>
      <c r="Q40" s="229"/>
      <c r="R40" s="314"/>
      <c r="S40" s="5482"/>
      <c r="T40" s="5431"/>
      <c r="U40" s="240"/>
      <c r="V40" s="1865" t="s">
        <v>568</v>
      </c>
      <c r="W40" s="1865" t="s">
        <v>569</v>
      </c>
      <c r="X40" s="1853" t="s">
        <v>537</v>
      </c>
      <c r="Y40" s="5436" t="s">
        <v>538</v>
      </c>
      <c r="Z40" s="5448"/>
      <c r="AA40" s="5431"/>
      <c r="AB40" s="5430"/>
      <c r="AC40" s="5430"/>
      <c r="AD40" s="1883" t="s">
        <v>568</v>
      </c>
      <c r="AE40" s="1874" t="s">
        <v>569</v>
      </c>
      <c r="AF40" s="1853" t="s">
        <v>537</v>
      </c>
      <c r="AG40" s="5436" t="s">
        <v>538</v>
      </c>
      <c r="AH40" s="5449"/>
      <c r="AI40" s="5488"/>
      <c r="AJ40" s="5491"/>
      <c r="AK40" s="5328"/>
      <c r="AQ40" s="1552">
        <v>14</v>
      </c>
    </row>
    <row r="41" spans="1:43" s="4299" customFormat="1" ht="11.25" hidden="1" customHeight="1">
      <c r="A41" s="1187"/>
      <c r="B41" s="1187"/>
      <c r="C41" s="1187"/>
      <c r="D41" s="1187"/>
      <c r="E41" s="1187"/>
      <c r="F41" s="1187"/>
      <c r="G41" s="1187"/>
      <c r="H41" s="1187"/>
      <c r="I41" s="1187"/>
      <c r="J41" s="1187"/>
      <c r="K41" s="1187"/>
      <c r="L41" s="1231"/>
      <c r="M41" s="1880"/>
      <c r="N41" s="1880"/>
      <c r="O41" s="1880"/>
      <c r="P41" s="448"/>
      <c r="Q41" s="1175"/>
      <c r="R41" s="1175">
        <v>1</v>
      </c>
      <c r="S41" s="1198" t="s">
        <v>136</v>
      </c>
      <c r="T41" s="1176" t="s">
        <v>103</v>
      </c>
      <c r="U41" s="1166" t="str">
        <f ca="1">OFFSET(U41,0,-1)</f>
        <v>2</v>
      </c>
      <c r="V41" s="1871">
        <f ca="1">OFFSET(V41,0,-1)+1</f>
        <v>3</v>
      </c>
      <c r="W41" s="1871">
        <f ca="1">OFFSET(W41,0,-1)+1</f>
        <v>4</v>
      </c>
      <c r="X41" s="1871">
        <f ca="1">OFFSET(X41,0,-1)+1</f>
        <v>5</v>
      </c>
      <c r="Y41" s="5480">
        <f ca="1">OFFSET(Y41,0,-1)+1</f>
        <v>6</v>
      </c>
      <c r="Z41" s="5480"/>
      <c r="AA41" s="1262">
        <f ca="1">OFFSET(AA41,0,-2)+1</f>
        <v>7</v>
      </c>
      <c r="AB41" s="1262"/>
      <c r="AC41" s="1262"/>
      <c r="AD41" s="1871">
        <f ca="1">OFFSET(AD41,0,-1)+1</f>
        <v>1</v>
      </c>
      <c r="AE41" s="1871">
        <f ca="1">OFFSET(AE41,0,-1)+1</f>
        <v>2</v>
      </c>
      <c r="AF41" s="1871">
        <f ca="1">OFFSET(AF41,0,-1)+1</f>
        <v>3</v>
      </c>
      <c r="AG41" s="5480">
        <f ca="1">OFFSET(AG41,0,-1)+1</f>
        <v>4</v>
      </c>
      <c r="AH41" s="5480"/>
      <c r="AI41" s="1871">
        <f ca="1">OFFSET(AI41,0,-2)+1</f>
        <v>5</v>
      </c>
      <c r="AJ41" s="1166">
        <f ca="1">OFFSET(AJ41,0,-1)</f>
        <v>5</v>
      </c>
      <c r="AK41" s="1871">
        <f ca="1">OFFSET(AK41,0,-1)+1</f>
        <v>6</v>
      </c>
      <c r="AL41" s="1557"/>
      <c r="AM41" s="1557"/>
      <c r="AN41" s="1557"/>
      <c r="AO41" s="1557"/>
      <c r="AP41" s="1557"/>
      <c r="AQ41" s="1562">
        <v>0</v>
      </c>
    </row>
    <row r="42" spans="1:43" ht="107.25" customHeight="1">
      <c r="A42" s="1188" t="s">
        <v>235</v>
      </c>
      <c r="B42" s="1188"/>
      <c r="C42" s="1188"/>
      <c r="D42" s="1188"/>
      <c r="E42" s="5495">
        <v>1</v>
      </c>
      <c r="F42" s="1188"/>
      <c r="G42" s="1188"/>
      <c r="H42" s="1188"/>
      <c r="I42" s="1188"/>
      <c r="J42" s="1188"/>
      <c r="K42" s="1188"/>
      <c r="L42" s="1231"/>
      <c r="M42" s="1531"/>
      <c r="N42" s="1531"/>
      <c r="O42" s="1531"/>
      <c r="P42" s="1330"/>
      <c r="Q42" s="801"/>
      <c r="R42" s="293"/>
      <c r="S42" s="1873">
        <f>INDEX(PT_DIFFERENTIATION_NUM_NTAR,MATCH(A42,PT_DIFFERENTIATION_NTAR_ID,0))</f>
        <v>0</v>
      </c>
      <c r="T42" s="1446" t="s">
        <v>155</v>
      </c>
      <c r="U42" s="238"/>
      <c r="V42" s="5464"/>
      <c r="W42" s="5464"/>
      <c r="X42" s="5464"/>
      <c r="Y42" s="5464"/>
      <c r="Z42" s="5464"/>
      <c r="AA42" s="5465"/>
      <c r="AB42" s="1867"/>
      <c r="AC42" s="5464" t="str">
        <f>INDEX(PT_DIFFERENTIATION_NTAR,MATCH(A42,PT_DIFFERENTIATION_NTAR_ID,0))</f>
        <v/>
      </c>
      <c r="AD42" s="5464"/>
      <c r="AE42" s="5464"/>
      <c r="AF42" s="5464"/>
      <c r="AG42" s="5464"/>
      <c r="AH42" s="5464"/>
      <c r="AI42" s="5464"/>
      <c r="AJ42" s="5465"/>
      <c r="AK42"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5"/>
      <c r="AN42" s="1545" t="str">
        <f t="shared" ref="AN42:AN56" si="1">IF(T42="","",T42)</f>
        <v>Наименование тарифа</v>
      </c>
      <c r="AO42" s="1545"/>
      <c r="AP42" s="1545"/>
      <c r="AQ42" s="1552">
        <v>102</v>
      </c>
    </row>
    <row r="43" spans="1:43" ht="21.95" customHeight="1">
      <c r="A43" s="1188" t="s">
        <v>235</v>
      </c>
      <c r="B43" s="1188" t="s">
        <v>236</v>
      </c>
      <c r="C43" s="1188"/>
      <c r="D43" s="1188"/>
      <c r="E43" s="5496"/>
      <c r="F43" s="5495">
        <v>1</v>
      </c>
      <c r="G43" s="1188"/>
      <c r="H43" s="1188"/>
      <c r="I43" s="1188"/>
      <c r="J43" s="1188"/>
      <c r="K43" s="1188"/>
      <c r="L43" s="1231"/>
      <c r="M43" s="1531"/>
      <c r="N43" s="1531"/>
      <c r="O43" s="1531"/>
      <c r="P43" s="1884"/>
      <c r="Q43" s="1332"/>
      <c r="R43" s="291"/>
      <c r="S43" s="1873" t="str">
        <f>INDEX(PT_DIFFERENTIATION_NUM_TER,MATCH(B43,PT_DIFFERENTIATION_TER_ID,0))</f>
        <v>.</v>
      </c>
      <c r="T43" s="1443" t="s">
        <v>490</v>
      </c>
      <c r="U43" s="238"/>
      <c r="V43" s="5464"/>
      <c r="W43" s="5464"/>
      <c r="X43" s="5464"/>
      <c r="Y43" s="5464"/>
      <c r="Z43" s="5464"/>
      <c r="AA43" s="5465"/>
      <c r="AB43" s="1867"/>
      <c r="AC43" s="5464" t="str">
        <f>INDEX(PT_DIFFERENTIATION_TER,MATCH(B43,PT_DIFFERENTIATION_TER_ID,0))</f>
        <v/>
      </c>
      <c r="AD43" s="5464"/>
      <c r="AE43" s="5464"/>
      <c r="AF43" s="5464"/>
      <c r="AG43" s="5464"/>
      <c r="AH43" s="5464"/>
      <c r="AI43" s="5464"/>
      <c r="AJ43" s="5465"/>
      <c r="AK43" s="1179" t="s">
        <v>491</v>
      </c>
      <c r="AM43" s="1545"/>
      <c r="AN43" s="1545" t="str">
        <f t="shared" si="1"/>
        <v>Территория действия тарифа</v>
      </c>
      <c r="AO43" s="1545"/>
      <c r="AP43" s="1545"/>
      <c r="AQ43" s="1552">
        <v>21</v>
      </c>
    </row>
    <row r="44" spans="1:43" ht="24" customHeight="1">
      <c r="A44" s="1188" t="s">
        <v>235</v>
      </c>
      <c r="B44" s="1188" t="s">
        <v>236</v>
      </c>
      <c r="C44" s="1188" t="s">
        <v>237</v>
      </c>
      <c r="D44" s="1188"/>
      <c r="E44" s="5496"/>
      <c r="F44" s="5496"/>
      <c r="G44" s="5495">
        <v>1</v>
      </c>
      <c r="H44" s="1188"/>
      <c r="I44" s="1188"/>
      <c r="J44" s="1188"/>
      <c r="K44" s="1188"/>
      <c r="L44" s="1231"/>
      <c r="M44" s="1531"/>
      <c r="N44" s="1531"/>
      <c r="O44" s="1531"/>
      <c r="P44" s="1333"/>
      <c r="Q44" s="1332"/>
      <c r="R44" s="291"/>
      <c r="S44" s="1873" t="str">
        <f>INDEX(PT_DIFFERENTIATION_NUM_CS,MATCH(C44,PT_DIFFERENTIATION_CS_ID,0))</f>
        <v>..</v>
      </c>
      <c r="T44" s="247" t="s">
        <v>492</v>
      </c>
      <c r="U44" s="238"/>
      <c r="V44" s="5464"/>
      <c r="W44" s="5464"/>
      <c r="X44" s="5464"/>
      <c r="Y44" s="5464"/>
      <c r="Z44" s="5464"/>
      <c r="AA44" s="5465"/>
      <c r="AB44" s="1867"/>
      <c r="AC44" s="5464" t="str">
        <f>INDEX(PT_DIFFERENTIATION_CS,MATCH(C44,PT_DIFFERENTIATION_CS_ID,0))</f>
        <v/>
      </c>
      <c r="AD44" s="5464"/>
      <c r="AE44" s="5464"/>
      <c r="AF44" s="5464"/>
      <c r="AG44" s="5464"/>
      <c r="AH44" s="5464"/>
      <c r="AI44" s="5464"/>
      <c r="AJ44" s="5465"/>
      <c r="AK44" s="1179" t="s">
        <v>493</v>
      </c>
      <c r="AM44" s="1545"/>
      <c r="AN44" s="1545" t="str">
        <f t="shared" si="1"/>
        <v xml:space="preserve">Наименование системы теплоснабжения </v>
      </c>
      <c r="AO44" s="1545"/>
      <c r="AP44" s="1545"/>
      <c r="AQ44" s="1552">
        <v>23</v>
      </c>
    </row>
    <row r="45" spans="1:43" ht="21.95" customHeight="1">
      <c r="A45" s="1188" t="s">
        <v>235</v>
      </c>
      <c r="B45" s="1188" t="s">
        <v>236</v>
      </c>
      <c r="C45" s="1188" t="s">
        <v>237</v>
      </c>
      <c r="D45" s="1188" t="s">
        <v>238</v>
      </c>
      <c r="E45" s="5496"/>
      <c r="F45" s="5496"/>
      <c r="G45" s="5496"/>
      <c r="H45" s="5495">
        <v>1</v>
      </c>
      <c r="I45" s="1188"/>
      <c r="J45" s="1188"/>
      <c r="K45" s="1188"/>
      <c r="L45" s="1231"/>
      <c r="M45" s="1531"/>
      <c r="N45" s="1531"/>
      <c r="O45" s="1531"/>
      <c r="P45" s="1333"/>
      <c r="Q45" s="1332"/>
      <c r="R45" s="291"/>
      <c r="S45" s="1873" t="str">
        <f>INDEX(PT_DIFFERENTIATION_NUM_IST_TE,MATCH(D45,PT_DIFFERENTIATION_IST_TE_ID,0))</f>
        <v>...</v>
      </c>
      <c r="T45" s="248" t="s">
        <v>494</v>
      </c>
      <c r="U45" s="238"/>
      <c r="V45" s="5464"/>
      <c r="W45" s="5464"/>
      <c r="X45" s="5464"/>
      <c r="Y45" s="5464"/>
      <c r="Z45" s="5464"/>
      <c r="AA45" s="5465"/>
      <c r="AB45" s="1867"/>
      <c r="AC45" s="5464" t="str">
        <f>INDEX(PT_DIFFERENTIATION_IST_TE,MATCH(D45,PT_DIFFERENTIATION_IST_TE_ID,0))</f>
        <v/>
      </c>
      <c r="AD45" s="5464"/>
      <c r="AE45" s="5464"/>
      <c r="AF45" s="5464"/>
      <c r="AG45" s="5464"/>
      <c r="AH45" s="5464"/>
      <c r="AI45" s="5464"/>
      <c r="AJ45" s="5465"/>
      <c r="AK45" s="1179" t="s">
        <v>495</v>
      </c>
      <c r="AM45" s="1545"/>
      <c r="AN45" s="1545" t="str">
        <f t="shared" si="1"/>
        <v xml:space="preserve">Источник тепловой энергии  </v>
      </c>
      <c r="AO45" s="1545"/>
      <c r="AP45" s="1545"/>
      <c r="AQ45" s="1552">
        <v>21</v>
      </c>
    </row>
    <row r="46" spans="1:43" s="4275" customFormat="1" ht="0" hidden="1" customHeight="1">
      <c r="A46" s="1296" t="s">
        <v>235</v>
      </c>
      <c r="B46" s="1296" t="s">
        <v>236</v>
      </c>
      <c r="C46" s="1296" t="s">
        <v>237</v>
      </c>
      <c r="D46" s="1296" t="s">
        <v>238</v>
      </c>
      <c r="E46" s="5496"/>
      <c r="F46" s="5496"/>
      <c r="G46" s="5496"/>
      <c r="H46" s="5496"/>
      <c r="I46" s="5328" t="str">
        <f>S45&amp;".1"</f>
        <v>....1</v>
      </c>
      <c r="J46" s="1296"/>
      <c r="K46" s="1296"/>
      <c r="L46" s="1302" t="s">
        <v>496</v>
      </c>
      <c r="M46" s="1167"/>
      <c r="N46" s="1167"/>
      <c r="O46" s="1167"/>
      <c r="P46" s="5473">
        <v>1</v>
      </c>
      <c r="Q46" s="1869"/>
      <c r="R46" s="294"/>
      <c r="S46" s="967"/>
      <c r="T46" s="1304"/>
      <c r="U46" s="1305"/>
      <c r="V46" s="5501"/>
      <c r="W46" s="5501"/>
      <c r="X46" s="5501"/>
      <c r="Y46" s="5501"/>
      <c r="Z46" s="5501"/>
      <c r="AA46" s="5502"/>
      <c r="AB46" s="1875"/>
      <c r="AC46" s="5501"/>
      <c r="AD46" s="5501"/>
      <c r="AE46" s="5501"/>
      <c r="AF46" s="5501"/>
      <c r="AG46" s="5501"/>
      <c r="AH46" s="5501"/>
      <c r="AI46" s="5501"/>
      <c r="AJ46" s="5502"/>
      <c r="AK46" s="1306"/>
      <c r="AM46" s="1545"/>
      <c r="AN46" s="1545" t="str">
        <f t="shared" si="1"/>
        <v/>
      </c>
      <c r="AO46" s="1545"/>
      <c r="AP46" s="1545"/>
      <c r="AQ46" s="1557">
        <v>0</v>
      </c>
    </row>
    <row r="47" spans="1:43" s="4275" customFormat="1" ht="0" hidden="1" customHeight="1">
      <c r="A47" s="1296" t="s">
        <v>235</v>
      </c>
      <c r="B47" s="1296" t="s">
        <v>236</v>
      </c>
      <c r="C47" s="1296" t="s">
        <v>237</v>
      </c>
      <c r="D47" s="1296" t="s">
        <v>238</v>
      </c>
      <c r="E47" s="5496"/>
      <c r="F47" s="5496"/>
      <c r="G47" s="5496"/>
      <c r="H47" s="5496"/>
      <c r="I47" s="5309"/>
      <c r="J47" s="5328" t="str">
        <f>S45&amp;".1"</f>
        <v>....1</v>
      </c>
      <c r="K47" s="1296"/>
      <c r="L47" s="1302"/>
      <c r="M47" s="1167"/>
      <c r="N47" s="1167"/>
      <c r="O47" s="1167"/>
      <c r="P47" s="5473"/>
      <c r="Q47" s="5473">
        <v>1</v>
      </c>
      <c r="R47" s="295"/>
      <c r="S47" s="967"/>
      <c r="T47" s="1320"/>
      <c r="U47" s="1305"/>
      <c r="V47" s="5501"/>
      <c r="W47" s="5501"/>
      <c r="X47" s="5501"/>
      <c r="Y47" s="5501"/>
      <c r="Z47" s="5501"/>
      <c r="AA47" s="5502"/>
      <c r="AB47" s="1875"/>
      <c r="AC47" s="5501"/>
      <c r="AD47" s="5501"/>
      <c r="AE47" s="5501"/>
      <c r="AF47" s="5501"/>
      <c r="AG47" s="5501"/>
      <c r="AH47" s="5501"/>
      <c r="AI47" s="5501"/>
      <c r="AJ47" s="5502"/>
      <c r="AK47" s="1306"/>
      <c r="AM47" s="1545"/>
      <c r="AN47" s="1545" t="str">
        <f t="shared" si="1"/>
        <v/>
      </c>
      <c r="AO47" s="1545"/>
      <c r="AP47" s="1545"/>
      <c r="AQ47" s="1557">
        <v>0</v>
      </c>
    </row>
    <row r="48" spans="1:43" ht="21.95" customHeight="1">
      <c r="A48" s="1188" t="s">
        <v>235</v>
      </c>
      <c r="B48" s="1188" t="s">
        <v>236</v>
      </c>
      <c r="C48" s="1188" t="s">
        <v>237</v>
      </c>
      <c r="D48" s="1188" t="s">
        <v>238</v>
      </c>
      <c r="E48" s="5496"/>
      <c r="F48" s="5496"/>
      <c r="G48" s="5496"/>
      <c r="H48" s="5496"/>
      <c r="I48" s="5309"/>
      <c r="J48" s="5309"/>
      <c r="K48" s="1856" t="str">
        <f>S45&amp;".1"</f>
        <v>....1</v>
      </c>
      <c r="L48" s="1231"/>
      <c r="P48" s="5473"/>
      <c r="Q48" s="5473"/>
      <c r="R48" s="295">
        <v>1</v>
      </c>
      <c r="S48" s="1877" t="str">
        <f>$K48</f>
        <v>....1</v>
      </c>
      <c r="T48" s="1876"/>
      <c r="U48" s="238"/>
      <c r="V48" s="689"/>
      <c r="W48" s="1178"/>
      <c r="X48" s="1870"/>
      <c r="Y48" s="1857" t="s">
        <v>66</v>
      </c>
      <c r="Z48" s="1870"/>
      <c r="AA48" s="1857" t="s">
        <v>66</v>
      </c>
      <c r="AB48" s="1879"/>
      <c r="AC48" s="1878" t="s">
        <v>28</v>
      </c>
      <c r="AD48" s="689"/>
      <c r="AE48" s="1178"/>
      <c r="AF48" s="1870"/>
      <c r="AG48" s="1857" t="s">
        <v>66</v>
      </c>
      <c r="AH48" s="1870"/>
      <c r="AI48" s="1857" t="s">
        <v>66</v>
      </c>
      <c r="AJ48" s="1269"/>
      <c r="AK48" s="5492" t="s">
        <v>570</v>
      </c>
      <c r="AL48" s="1557" t="e">
        <f ca="1">STRCHECKDATE(#REF!)</f>
        <v>#NAME?</v>
      </c>
      <c r="AM48" s="1545"/>
      <c r="AN48" s="1545" t="str">
        <f t="shared" si="1"/>
        <v/>
      </c>
      <c r="AO48" s="1545"/>
      <c r="AP48" s="1545"/>
      <c r="AQ48" s="1552">
        <v>21</v>
      </c>
    </row>
    <row r="49" spans="1:43" ht="11.45" customHeight="1">
      <c r="A49" s="1188" t="s">
        <v>235</v>
      </c>
      <c r="B49" s="1188" t="s">
        <v>236</v>
      </c>
      <c r="C49" s="1188" t="s">
        <v>237</v>
      </c>
      <c r="D49" s="1188" t="s">
        <v>238</v>
      </c>
      <c r="E49" s="5496"/>
      <c r="F49" s="5496"/>
      <c r="G49" s="5496"/>
      <c r="H49" s="5496"/>
      <c r="I49" s="5309"/>
      <c r="J49" s="5328"/>
      <c r="K49" s="1188"/>
      <c r="L49" s="1231"/>
      <c r="P49" s="5473"/>
      <c r="Q49" s="5473"/>
      <c r="R49" s="294"/>
      <c r="S49" s="1199"/>
      <c r="T49" s="225" t="s">
        <v>558</v>
      </c>
      <c r="U49" s="538"/>
      <c r="V49" s="538"/>
      <c r="W49" s="538"/>
      <c r="X49" s="538"/>
      <c r="Y49" s="538"/>
      <c r="Z49" s="538"/>
      <c r="AA49" s="262"/>
      <c r="AB49" s="538"/>
      <c r="AC49" s="538"/>
      <c r="AD49" s="538"/>
      <c r="AE49" s="538"/>
      <c r="AF49" s="538"/>
      <c r="AG49" s="538"/>
      <c r="AH49" s="538"/>
      <c r="AI49" s="538"/>
      <c r="AJ49" s="262"/>
      <c r="AK49" s="5494"/>
      <c r="AM49" s="1545"/>
      <c r="AN49" s="1545" t="str">
        <f t="shared" si="1"/>
        <v>Добавить строку</v>
      </c>
      <c r="AO49" s="1545"/>
      <c r="AP49" s="1545"/>
      <c r="AQ49" s="1552">
        <v>11</v>
      </c>
    </row>
    <row r="50" spans="1:43" s="4275" customFormat="1" ht="1.1499999999999999" customHeight="1">
      <c r="A50" s="1296" t="s">
        <v>235</v>
      </c>
      <c r="B50" s="1296" t="s">
        <v>236</v>
      </c>
      <c r="C50" s="1296" t="s">
        <v>237</v>
      </c>
      <c r="D50" s="1296" t="s">
        <v>238</v>
      </c>
      <c r="E50" s="5496"/>
      <c r="F50" s="5496"/>
      <c r="G50" s="5496"/>
      <c r="H50" s="5496"/>
      <c r="I50" s="5328"/>
      <c r="J50" s="1296"/>
      <c r="K50" s="1296"/>
      <c r="L50" s="1302"/>
      <c r="M50" s="1167"/>
      <c r="N50" s="1167"/>
      <c r="O50" s="1167"/>
      <c r="P50" s="5473"/>
      <c r="Q50" s="1869"/>
      <c r="R50" s="294"/>
      <c r="S50" s="1307"/>
      <c r="T50" s="1308" t="s">
        <v>505</v>
      </c>
      <c r="U50" s="1309"/>
      <c r="V50" s="1309"/>
      <c r="W50" s="1309"/>
      <c r="X50" s="1309"/>
      <c r="Y50" s="1309"/>
      <c r="Z50" s="1309"/>
      <c r="AA50" s="1309"/>
      <c r="AB50" s="1309"/>
      <c r="AC50" s="1309"/>
      <c r="AD50" s="1309"/>
      <c r="AE50" s="1309"/>
      <c r="AF50" s="1309"/>
      <c r="AG50" s="1309"/>
      <c r="AH50" s="1309"/>
      <c r="AI50" s="1309"/>
      <c r="AJ50" s="1309"/>
      <c r="AK50" s="1310"/>
      <c r="AM50" s="1545"/>
      <c r="AN50" s="1545" t="str">
        <f t="shared" si="1"/>
        <v>Добавить группу потребителей</v>
      </c>
      <c r="AO50" s="1545"/>
      <c r="AP50" s="1545"/>
      <c r="AQ50" s="1557">
        <v>1</v>
      </c>
    </row>
    <row r="51" spans="1:43" s="4299" customFormat="1" ht="1.1499999999999999" customHeight="1">
      <c r="A51" s="1296" t="s">
        <v>235</v>
      </c>
      <c r="B51" s="1296" t="s">
        <v>236</v>
      </c>
      <c r="C51" s="1296" t="s">
        <v>237</v>
      </c>
      <c r="D51" s="1296" t="s">
        <v>238</v>
      </c>
      <c r="E51" s="5496"/>
      <c r="F51" s="5496"/>
      <c r="G51" s="5496"/>
      <c r="H51" s="5495"/>
      <c r="I51" s="1296"/>
      <c r="J51" s="1296"/>
      <c r="K51" s="1296"/>
      <c r="L51" s="1302"/>
      <c r="M51" s="1299"/>
      <c r="N51" s="1299"/>
      <c r="O51" s="289"/>
      <c r="P51" s="318"/>
      <c r="Q51" s="1265"/>
      <c r="R51" s="1321"/>
      <c r="S51" s="1307"/>
      <c r="T51" s="1308"/>
      <c r="U51" s="1309"/>
      <c r="V51" s="1309"/>
      <c r="W51" s="1309"/>
      <c r="X51" s="1309"/>
      <c r="Y51" s="1309"/>
      <c r="Z51" s="1309"/>
      <c r="AA51" s="1309"/>
      <c r="AB51" s="1309"/>
      <c r="AC51" s="1309"/>
      <c r="AD51" s="1309"/>
      <c r="AE51" s="1309"/>
      <c r="AF51" s="1309"/>
      <c r="AG51" s="1309"/>
      <c r="AH51" s="1309"/>
      <c r="AI51" s="1309"/>
      <c r="AJ51" s="1309"/>
      <c r="AK51" s="1310"/>
      <c r="AL51" s="1557"/>
      <c r="AM51" s="1545"/>
      <c r="AN51" s="1545" t="str">
        <f t="shared" si="1"/>
        <v/>
      </c>
      <c r="AO51" s="1545"/>
      <c r="AP51" s="1545"/>
      <c r="AQ51" s="1562">
        <v>1</v>
      </c>
    </row>
    <row r="52" spans="1:43" s="4275" customFormat="1" ht="1.1499999999999999" customHeight="1">
      <c r="A52" s="1296" t="s">
        <v>235</v>
      </c>
      <c r="B52" s="1296" t="s">
        <v>236</v>
      </c>
      <c r="C52" s="1296" t="s">
        <v>237</v>
      </c>
      <c r="D52" s="1295"/>
      <c r="E52" s="5496"/>
      <c r="F52" s="5496"/>
      <c r="G52" s="5495"/>
      <c r="H52" s="1295"/>
      <c r="I52" s="1295"/>
      <c r="J52" s="1295"/>
      <c r="K52" s="1295"/>
      <c r="L52" s="1298"/>
      <c r="M52" s="1299"/>
      <c r="N52" s="1299"/>
      <c r="O52" s="289"/>
      <c r="P52" s="1237"/>
      <c r="Q52" s="1238"/>
      <c r="R52" s="1237"/>
      <c r="S52" s="1243"/>
      <c r="T52" s="1246" t="s">
        <v>507</v>
      </c>
      <c r="U52" s="1245"/>
      <c r="V52" s="1245"/>
      <c r="W52" s="1245"/>
      <c r="X52" s="1245"/>
      <c r="Y52" s="1245"/>
      <c r="Z52" s="1245"/>
      <c r="AA52" s="1245"/>
      <c r="AB52" s="1245"/>
      <c r="AC52" s="1245"/>
      <c r="AD52" s="1245"/>
      <c r="AE52" s="1245"/>
      <c r="AF52" s="1245"/>
      <c r="AG52" s="1245"/>
      <c r="AH52" s="1245"/>
      <c r="AI52" s="1245"/>
      <c r="AJ52" s="1245"/>
      <c r="AK52" s="1245"/>
      <c r="AM52" s="1172"/>
      <c r="AN52" s="1172" t="str">
        <f t="shared" si="1"/>
        <v>Добавить источник для дифференциации</v>
      </c>
      <c r="AO52" s="1172"/>
      <c r="AP52" s="1172"/>
      <c r="AQ52" s="1563">
        <v>1</v>
      </c>
    </row>
    <row r="53" spans="1:43" s="4275" customFormat="1" ht="1.1499999999999999" customHeight="1">
      <c r="A53" s="1296" t="s">
        <v>235</v>
      </c>
      <c r="B53" s="1296" t="s">
        <v>236</v>
      </c>
      <c r="C53" s="1295"/>
      <c r="D53" s="1295"/>
      <c r="E53" s="5496"/>
      <c r="F53" s="5495"/>
      <c r="G53" s="1295"/>
      <c r="H53" s="1295"/>
      <c r="I53" s="1295"/>
      <c r="J53" s="1295"/>
      <c r="K53" s="1295"/>
      <c r="L53" s="1298"/>
      <c r="M53" s="1300"/>
      <c r="N53" s="1300"/>
      <c r="O53" s="289"/>
      <c r="P53" s="1237"/>
      <c r="Q53" s="1238"/>
      <c r="R53" s="1237"/>
      <c r="S53" s="1243"/>
      <c r="T53" s="1246" t="s">
        <v>312</v>
      </c>
      <c r="U53" s="1245"/>
      <c r="V53" s="1245"/>
      <c r="W53" s="1245"/>
      <c r="X53" s="1245"/>
      <c r="Y53" s="1245"/>
      <c r="Z53" s="1245"/>
      <c r="AA53" s="1245"/>
      <c r="AB53" s="1245"/>
      <c r="AC53" s="1245"/>
      <c r="AD53" s="1245"/>
      <c r="AE53" s="1245"/>
      <c r="AF53" s="1245"/>
      <c r="AG53" s="1245"/>
      <c r="AH53" s="1245"/>
      <c r="AI53" s="1245"/>
      <c r="AJ53" s="1245"/>
      <c r="AK53" s="1245"/>
      <c r="AM53" s="1172"/>
      <c r="AN53" s="1172" t="str">
        <f t="shared" si="1"/>
        <v>Добавить централизованную систему для дифференциации</v>
      </c>
      <c r="AO53" s="1172"/>
      <c r="AP53" s="1172"/>
      <c r="AQ53" s="1563">
        <v>1</v>
      </c>
    </row>
    <row r="54" spans="1:43" s="4275" customFormat="1" ht="1.1499999999999999" customHeight="1">
      <c r="A54" s="1296" t="s">
        <v>235</v>
      </c>
      <c r="B54" s="1296"/>
      <c r="C54" s="1296"/>
      <c r="D54" s="1296"/>
      <c r="E54" s="5496"/>
      <c r="F54" s="1296"/>
      <c r="G54" s="1296"/>
      <c r="H54" s="1296"/>
      <c r="I54" s="1296"/>
      <c r="J54" s="1296"/>
      <c r="K54" s="1296"/>
      <c r="L54" s="1302"/>
      <c r="M54" s="1300"/>
      <c r="N54" s="1300"/>
      <c r="O54" s="289"/>
      <c r="P54" s="318"/>
      <c r="Q54" s="1265"/>
      <c r="R54" s="318"/>
      <c r="S54" s="1243"/>
      <c r="T54" s="1246" t="s">
        <v>360</v>
      </c>
      <c r="U54" s="1245"/>
      <c r="V54" s="1245"/>
      <c r="W54" s="1245"/>
      <c r="X54" s="1245"/>
      <c r="Y54" s="1245"/>
      <c r="Z54" s="1245"/>
      <c r="AA54" s="1245"/>
      <c r="AB54" s="1245"/>
      <c r="AC54" s="1245"/>
      <c r="AD54" s="1245"/>
      <c r="AE54" s="1245"/>
      <c r="AF54" s="1245"/>
      <c r="AG54" s="1245"/>
      <c r="AH54" s="1245"/>
      <c r="AI54" s="1245"/>
      <c r="AJ54" s="1245"/>
      <c r="AK54" s="1245"/>
      <c r="AM54" s="1545"/>
      <c r="AN54" s="1545" t="str">
        <f t="shared" si="1"/>
        <v>Добавить территорию для дифференциации</v>
      </c>
      <c r="AO54" s="1545"/>
      <c r="AP54" s="1545"/>
      <c r="AQ54" s="1557">
        <v>1</v>
      </c>
    </row>
    <row r="55" spans="1:43" s="4275" customFormat="1" ht="1.1499999999999999" customHeight="1">
      <c r="A55" s="1296" t="s">
        <v>235</v>
      </c>
      <c r="B55" s="1296"/>
      <c r="C55" s="1296"/>
      <c r="D55" s="1296"/>
      <c r="E55" s="5495"/>
      <c r="F55" s="1296"/>
      <c r="G55" s="1296"/>
      <c r="H55" s="1296"/>
      <c r="I55" s="1296"/>
      <c r="J55" s="1296"/>
      <c r="K55" s="1296"/>
      <c r="L55" s="1302"/>
      <c r="M55" s="1300"/>
      <c r="N55" s="1300"/>
      <c r="O55" s="289"/>
      <c r="P55" s="318"/>
      <c r="Q55" s="1265"/>
      <c r="R55" s="318"/>
      <c r="S55" s="1243"/>
      <c r="T55" s="1246" t="s">
        <v>360</v>
      </c>
      <c r="U55" s="1245"/>
      <c r="V55" s="1245"/>
      <c r="W55" s="1245"/>
      <c r="X55" s="1245"/>
      <c r="Y55" s="1245"/>
      <c r="Z55" s="1245"/>
      <c r="AA55" s="1245"/>
      <c r="AB55" s="1245"/>
      <c r="AC55" s="1245"/>
      <c r="AD55" s="1245"/>
      <c r="AE55" s="1245"/>
      <c r="AF55" s="1245"/>
      <c r="AG55" s="1245"/>
      <c r="AH55" s="1245"/>
      <c r="AI55" s="1245"/>
      <c r="AJ55" s="1245"/>
      <c r="AK55" s="1245"/>
      <c r="AM55" s="1545"/>
      <c r="AN55" s="1545" t="str">
        <f t="shared" si="1"/>
        <v>Добавить территорию для дифференциации</v>
      </c>
      <c r="AO55" s="1545"/>
      <c r="AP55" s="1545"/>
      <c r="AQ55" s="1557">
        <v>1</v>
      </c>
    </row>
    <row r="56" spans="1:43" s="4275" customFormat="1" ht="1.1499999999999999" customHeight="1">
      <c r="A56" s="1295"/>
      <c r="B56" s="1295"/>
      <c r="C56" s="1295"/>
      <c r="D56" s="1295"/>
      <c r="E56" s="1296"/>
      <c r="F56" s="1295"/>
      <c r="G56" s="1295"/>
      <c r="H56" s="1295"/>
      <c r="I56" s="1295"/>
      <c r="J56" s="1295"/>
      <c r="K56" s="1295"/>
      <c r="L56" s="1298"/>
      <c r="M56" s="1300"/>
      <c r="N56" s="1300"/>
      <c r="O56" s="289"/>
      <c r="P56" s="1237"/>
      <c r="Q56" s="1238"/>
      <c r="R56" s="1237"/>
      <c r="S56" s="1243"/>
      <c r="T56" s="1246" t="s">
        <v>361</v>
      </c>
      <c r="U56" s="1245"/>
      <c r="V56" s="1245"/>
      <c r="W56" s="1245"/>
      <c r="X56" s="1245"/>
      <c r="Y56" s="1245"/>
      <c r="Z56" s="1245"/>
      <c r="AA56" s="1245"/>
      <c r="AB56" s="1245"/>
      <c r="AC56" s="1245"/>
      <c r="AD56" s="1245"/>
      <c r="AE56" s="1245"/>
      <c r="AF56" s="1245"/>
      <c r="AG56" s="1245"/>
      <c r="AH56" s="1245"/>
      <c r="AI56" s="1245"/>
      <c r="AJ56" s="1245"/>
      <c r="AK56" s="1245"/>
      <c r="AM56" s="1172"/>
      <c r="AN56" s="1172" t="str">
        <f t="shared" si="1"/>
        <v>Добавить наименование тарифа</v>
      </c>
      <c r="AO56" s="1172"/>
      <c r="AP56" s="1172"/>
      <c r="AQ56" s="1563">
        <v>1</v>
      </c>
    </row>
    <row r="57" spans="1:43" ht="11.45" customHeight="1">
      <c r="M57" s="1552"/>
      <c r="N57" s="1552"/>
      <c r="O57" s="1556"/>
      <c r="P57" s="1287"/>
      <c r="Q57" s="1287"/>
      <c r="R57" s="1552"/>
      <c r="S57" s="1552"/>
      <c r="AL57" s="1552"/>
      <c r="AM57" s="1552"/>
      <c r="AN57" s="1552"/>
      <c r="AO57" s="1552"/>
      <c r="AP57" s="1552"/>
      <c r="AQ57" s="1552">
        <v>11</v>
      </c>
    </row>
    <row r="58" spans="1:43" ht="19.899999999999999" customHeight="1">
      <c r="O58" s="1556"/>
      <c r="S58" s="1174"/>
      <c r="T58" s="5468"/>
      <c r="U58" s="5468"/>
      <c r="V58" s="5468"/>
      <c r="W58" s="5468"/>
      <c r="X58" s="5468"/>
      <c r="Y58" s="5468"/>
      <c r="Z58" s="5468"/>
      <c r="AA58" s="5468"/>
      <c r="AB58" s="5468"/>
      <c r="AC58" s="5468"/>
      <c r="AD58" s="5468"/>
      <c r="AE58" s="5468"/>
      <c r="AF58" s="5468"/>
      <c r="AG58" s="5468"/>
      <c r="AH58" s="5468"/>
      <c r="AI58" s="5468"/>
      <c r="AJ58" s="5468"/>
      <c r="AK58" s="5468"/>
      <c r="AQ58" s="1552">
        <v>19</v>
      </c>
    </row>
    <row r="59" spans="1:43" ht="21" customHeight="1">
      <c r="O59" s="1556"/>
      <c r="T59" s="5468"/>
      <c r="U59" s="5468"/>
      <c r="V59" s="5468"/>
      <c r="W59" s="5468"/>
      <c r="X59" s="5468"/>
      <c r="Y59" s="5468"/>
      <c r="Z59" s="5468"/>
      <c r="AA59" s="5468"/>
      <c r="AB59" s="5468"/>
      <c r="AC59" s="5468"/>
      <c r="AD59" s="5468"/>
      <c r="AE59" s="5468"/>
      <c r="AF59" s="5468"/>
      <c r="AG59" s="5468"/>
      <c r="AH59" s="5468"/>
      <c r="AI59" s="5468"/>
      <c r="AJ59" s="5468"/>
      <c r="AK59" s="5468"/>
      <c r="AQ59" s="1552">
        <v>20</v>
      </c>
    </row>
    <row r="60" spans="1:43" ht="14.65" customHeight="1">
      <c r="O60" s="1556"/>
      <c r="T60" s="1868"/>
      <c r="U60" s="1868"/>
      <c r="V60" s="1868"/>
      <c r="W60" s="1868"/>
      <c r="X60" s="1868"/>
      <c r="Y60" s="1868"/>
      <c r="Z60" s="1868"/>
      <c r="AA60" s="1868"/>
      <c r="AB60" s="1868"/>
      <c r="AC60" s="1868"/>
      <c r="AD60" s="1868"/>
      <c r="AE60" s="1868"/>
      <c r="AF60" s="1868"/>
      <c r="AG60" s="1868"/>
      <c r="AH60" s="1868"/>
      <c r="AI60" s="1868"/>
      <c r="AJ60" s="1868"/>
      <c r="AK60" s="1868"/>
      <c r="AQ60" s="1552">
        <v>14</v>
      </c>
    </row>
    <row r="61" spans="1:43" ht="19.899999999999999" customHeight="1">
      <c r="O61" s="1556"/>
      <c r="T61" s="5468"/>
      <c r="U61" s="5468"/>
      <c r="V61" s="5468"/>
      <c r="W61" s="5468"/>
      <c r="X61" s="5468"/>
      <c r="Y61" s="5468"/>
      <c r="Z61" s="5468"/>
      <c r="AA61" s="5468"/>
      <c r="AB61" s="5468"/>
      <c r="AC61" s="5468"/>
      <c r="AD61" s="5468"/>
      <c r="AE61" s="5468"/>
      <c r="AF61" s="5468"/>
      <c r="AG61" s="5468"/>
      <c r="AH61" s="5468"/>
      <c r="AI61" s="5468"/>
      <c r="AJ61" s="5468"/>
      <c r="AK61" s="5468"/>
      <c r="AQ61" s="1552">
        <v>19</v>
      </c>
    </row>
    <row r="62" spans="1:43" ht="16.899999999999999" customHeight="1">
      <c r="O62" s="1556"/>
      <c r="T62" s="5468"/>
      <c r="U62" s="5468"/>
      <c r="V62" s="5468"/>
      <c r="W62" s="5468"/>
      <c r="X62" s="5468"/>
      <c r="Y62" s="5468"/>
      <c r="Z62" s="5468"/>
      <c r="AA62" s="5468"/>
      <c r="AB62" s="5468"/>
      <c r="AC62" s="5468"/>
      <c r="AD62" s="5468"/>
      <c r="AE62" s="5468"/>
      <c r="AF62" s="5468"/>
      <c r="AG62" s="5468"/>
      <c r="AH62" s="5468"/>
      <c r="AI62" s="5468"/>
      <c r="AJ62" s="5468"/>
      <c r="AK62" s="5468"/>
      <c r="AQ62" s="1552">
        <v>16</v>
      </c>
    </row>
    <row r="63" spans="1:43" ht="14.65" customHeight="1">
      <c r="O63" s="1556"/>
      <c r="AQ63" s="1552">
        <v>14</v>
      </c>
    </row>
    <row r="64" spans="1:43" ht="22.5" hidden="1" customHeight="1">
      <c r="A64" s="1552" t="s">
        <v>82</v>
      </c>
      <c r="B64" s="1552">
        <v>0</v>
      </c>
      <c r="C64" s="1552">
        <v>0</v>
      </c>
      <c r="D64" s="1552">
        <v>0</v>
      </c>
      <c r="E64" s="1552">
        <v>0</v>
      </c>
      <c r="F64" s="1552">
        <v>0</v>
      </c>
      <c r="G64" s="1552">
        <v>0</v>
      </c>
      <c r="H64" s="1552">
        <v>0</v>
      </c>
      <c r="I64" s="1552">
        <v>0</v>
      </c>
      <c r="J64" s="1552">
        <v>0</v>
      </c>
      <c r="K64" s="1552">
        <v>0</v>
      </c>
      <c r="L64" s="1854">
        <v>0</v>
      </c>
      <c r="M64" s="1880">
        <v>0</v>
      </c>
      <c r="N64" s="1880">
        <v>0</v>
      </c>
      <c r="O64" s="1880">
        <v>0</v>
      </c>
      <c r="P64" s="1283">
        <v>3</v>
      </c>
      <c r="Q64" s="1292">
        <v>3</v>
      </c>
      <c r="R64" s="282">
        <v>3</v>
      </c>
      <c r="S64" s="519">
        <v>12</v>
      </c>
      <c r="T64" s="1552">
        <v>31</v>
      </c>
      <c r="U64" s="1552">
        <v>0</v>
      </c>
      <c r="V64" s="1552">
        <v>0</v>
      </c>
      <c r="W64" s="1552">
        <v>0</v>
      </c>
      <c r="X64" s="1552">
        <v>0</v>
      </c>
      <c r="Y64" s="1552">
        <v>0</v>
      </c>
      <c r="Z64" s="1552">
        <v>0</v>
      </c>
      <c r="AA64" s="1552">
        <v>0</v>
      </c>
      <c r="AB64" s="1552">
        <v>27</v>
      </c>
      <c r="AC64" s="1552">
        <v>24</v>
      </c>
      <c r="AD64" s="1552">
        <v>21</v>
      </c>
      <c r="AE64" s="1552">
        <v>21</v>
      </c>
      <c r="AF64" s="1552">
        <v>11</v>
      </c>
      <c r="AG64" s="1552">
        <v>3</v>
      </c>
      <c r="AH64" s="1552">
        <v>11</v>
      </c>
      <c r="AI64" s="1552">
        <v>8</v>
      </c>
      <c r="AJ64" s="1552">
        <v>4</v>
      </c>
      <c r="AK64" s="1552">
        <v>115</v>
      </c>
      <c r="AL64" s="1557">
        <v>10</v>
      </c>
      <c r="AM64" s="1557">
        <v>10</v>
      </c>
      <c r="AN64" s="1557">
        <v>10</v>
      </c>
      <c r="AO64" s="1557">
        <v>10</v>
      </c>
      <c r="AP64" s="1557">
        <v>10</v>
      </c>
      <c r="AQ64" s="1552">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274" hidden="1" customWidth="1"/>
    <col min="2" max="2" width="11" style="4274" hidden="1" customWidth="1"/>
    <col min="3" max="3" width="10.5703125" style="4274" hidden="1"/>
    <col min="4" max="4" width="12.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7109375" style="4301" hidden="1" customWidth="1"/>
    <col min="17" max="17" width="3.7109375" style="4306" hidden="1" customWidth="1"/>
    <col min="18" max="18" width="3" style="4303" customWidth="1"/>
    <col min="19" max="19" width="12" style="4304" customWidth="1"/>
    <col min="20" max="20" width="31" style="4267" customWidth="1"/>
    <col min="21" max="21" width="0.140625" style="4267" customWidth="1"/>
    <col min="22" max="25" width="21.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3.7109375" style="4267" customWidth="1"/>
    <col min="31" max="32" width="3" style="4267" customWidth="1"/>
    <col min="33" max="33" width="24" style="4267" customWidth="1"/>
    <col min="34" max="34" width="3.7109375" style="4267" customWidth="1"/>
    <col min="35" max="36" width="3" style="4267" customWidth="1"/>
    <col min="37" max="37" width="24" style="4267" customWidth="1"/>
    <col min="38" max="38" width="3.7109375" style="4267" customWidth="1"/>
    <col min="39" max="40" width="3" style="4267" customWidth="1"/>
    <col min="41" max="41" width="18" style="4267" customWidth="1"/>
    <col min="42" max="42" width="3.7109375" style="4267" customWidth="1"/>
    <col min="43" max="44" width="3" style="4267" customWidth="1"/>
    <col min="45" max="45" width="18" style="4267" customWidth="1"/>
    <col min="46" max="49" width="21" style="4267" customWidth="1"/>
    <col min="50" max="50" width="11" style="4267" customWidth="1"/>
    <col min="51" max="51" width="3.7109375" style="4267" customWidth="1"/>
    <col min="52" max="52" width="11" style="4267" customWidth="1"/>
    <col min="53" max="53" width="8.5703125" style="4267" hidden="1" customWidth="1"/>
    <col min="54" max="54" width="4" style="4267" customWidth="1"/>
    <col min="55" max="55" width="115" style="4267" customWidth="1"/>
    <col min="56" max="60" width="10" style="4275" customWidth="1"/>
    <col min="61" max="61" width="10.5703125" style="4267" hidden="1"/>
  </cols>
  <sheetData>
    <row r="1" spans="1:61" ht="22.5" hidden="1" customHeight="1">
      <c r="W1" s="265"/>
      <c r="Y1" s="265"/>
      <c r="Z1" s="265"/>
      <c r="AW1" s="265"/>
      <c r="AX1" s="265"/>
      <c r="BI1" s="1076" t="s">
        <v>14</v>
      </c>
    </row>
    <row r="2" spans="1:61" ht="21" hidden="1" customHeight="1">
      <c r="A2" s="1284"/>
      <c r="B2" s="1284"/>
      <c r="C2" s="1284"/>
      <c r="D2" s="1284"/>
      <c r="E2" s="5469">
        <v>1</v>
      </c>
      <c r="F2" s="1284"/>
      <c r="G2" s="1284"/>
      <c r="H2" s="1284"/>
      <c r="I2" s="1284"/>
      <c r="J2" s="1284"/>
      <c r="K2" s="1284"/>
      <c r="L2" s="1285"/>
      <c r="M2" s="1286"/>
      <c r="N2" s="1286"/>
      <c r="O2" s="1286"/>
      <c r="P2" s="1330"/>
      <c r="Q2" s="801"/>
      <c r="R2" s="293"/>
      <c r="S2" s="1386" t="e">
        <f>INDEX(PT_DIFFERENTIATION_NUM_NTAR,MATCH(A2,PT_DIFFERENTIATION_NTAR_ID,0))</f>
        <v>#N/A</v>
      </c>
      <c r="T2" s="236" t="s">
        <v>155</v>
      </c>
      <c r="U2" s="238"/>
      <c r="V2" s="5464"/>
      <c r="W2" s="5464"/>
      <c r="X2" s="5464"/>
      <c r="Y2" s="5464"/>
      <c r="Z2" s="5464"/>
      <c r="AA2" s="5464"/>
      <c r="AB2" s="5464"/>
      <c r="AC2" s="5465"/>
      <c r="AD2" s="5463" t="e">
        <f>INDEX(PT_DIFFERENTIATION_NTAR,MATCH(A2,PT_DIFFERENTIATION_NTAR_ID,0))</f>
        <v>#N/A</v>
      </c>
      <c r="AE2" s="5464"/>
      <c r="AF2" s="5464"/>
      <c r="AG2" s="5464"/>
      <c r="AH2" s="5464"/>
      <c r="AI2" s="5464"/>
      <c r="AJ2" s="5464"/>
      <c r="AK2" s="5464"/>
      <c r="AL2" s="5464"/>
      <c r="AM2" s="5464"/>
      <c r="AN2" s="5464"/>
      <c r="AO2" s="5464"/>
      <c r="AP2" s="5464"/>
      <c r="AQ2" s="5464"/>
      <c r="AR2" s="5464"/>
      <c r="AS2" s="5464"/>
      <c r="AT2" s="5464"/>
      <c r="AU2" s="5464"/>
      <c r="AV2" s="5464"/>
      <c r="AW2" s="5464"/>
      <c r="AX2" s="5464"/>
      <c r="AY2" s="5464"/>
      <c r="AZ2" s="5464"/>
      <c r="BA2" s="5464"/>
      <c r="BB2" s="5465"/>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76">
        <v>0</v>
      </c>
    </row>
    <row r="3" spans="1:61" ht="21" hidden="1" customHeight="1">
      <c r="A3" s="1284"/>
      <c r="B3" s="1284"/>
      <c r="C3" s="1284"/>
      <c r="D3" s="1284"/>
      <c r="E3" s="5470"/>
      <c r="F3" s="5469">
        <v>1</v>
      </c>
      <c r="G3" s="1284"/>
      <c r="H3" s="1284"/>
      <c r="I3" s="1284"/>
      <c r="J3" s="1284"/>
      <c r="K3" s="1284"/>
      <c r="L3" s="1285"/>
      <c r="M3" s="1286"/>
      <c r="N3" s="1286"/>
      <c r="O3" s="1286"/>
      <c r="P3" s="1331"/>
      <c r="Q3" s="1332"/>
      <c r="R3" s="291"/>
      <c r="S3" s="1386" t="e">
        <f>INDEX(PT_DIFFERENTIATION_NUM_TER,MATCH(B3,PT_DIFFERENTIATION_TER_ID,0))</f>
        <v>#N/A</v>
      </c>
      <c r="T3" s="246" t="s">
        <v>490</v>
      </c>
      <c r="U3" s="238"/>
      <c r="V3" s="5464"/>
      <c r="W3" s="5464"/>
      <c r="X3" s="5464"/>
      <c r="Y3" s="5464"/>
      <c r="Z3" s="5464"/>
      <c r="AA3" s="5464"/>
      <c r="AB3" s="5464"/>
      <c r="AC3" s="5465"/>
      <c r="AD3" s="5463" t="e">
        <f>INDEX(PT_DIFFERENTIATION_TER,MATCH(B3,PT_DIFFERENTIATION_TER_ID,0))</f>
        <v>#N/A</v>
      </c>
      <c r="AE3" s="5464"/>
      <c r="AF3" s="5464"/>
      <c r="AG3" s="5464"/>
      <c r="AH3" s="5464"/>
      <c r="AI3" s="5464"/>
      <c r="AJ3" s="5464"/>
      <c r="AK3" s="5464"/>
      <c r="AL3" s="5464"/>
      <c r="AM3" s="5464"/>
      <c r="AN3" s="5464"/>
      <c r="AO3" s="5464"/>
      <c r="AP3" s="5464"/>
      <c r="AQ3" s="5464"/>
      <c r="AR3" s="5464"/>
      <c r="AS3" s="5464"/>
      <c r="AT3" s="5464"/>
      <c r="AU3" s="5464"/>
      <c r="AV3" s="5464"/>
      <c r="AW3" s="5464"/>
      <c r="AX3" s="5464"/>
      <c r="AY3" s="5464"/>
      <c r="AZ3" s="5464"/>
      <c r="BA3" s="5464"/>
      <c r="BB3" s="5465"/>
      <c r="BC3" s="1179" t="s">
        <v>491</v>
      </c>
      <c r="BE3" s="438"/>
      <c r="BF3" s="438" t="str">
        <f t="shared" si="0"/>
        <v>Территория действия тарифа</v>
      </c>
      <c r="BG3" s="438"/>
      <c r="BH3" s="438"/>
      <c r="BI3" s="1076">
        <v>0</v>
      </c>
    </row>
    <row r="4" spans="1:61" ht="42" hidden="1" customHeight="1">
      <c r="A4" s="1284"/>
      <c r="B4" s="1284"/>
      <c r="C4" s="1284"/>
      <c r="D4" s="1284"/>
      <c r="E4" s="5470"/>
      <c r="F4" s="5470"/>
      <c r="G4" s="5469">
        <v>1</v>
      </c>
      <c r="H4" s="1284"/>
      <c r="I4" s="1284"/>
      <c r="J4" s="1284"/>
      <c r="K4" s="1284"/>
      <c r="L4" s="1285"/>
      <c r="M4" s="1286"/>
      <c r="N4" s="1286"/>
      <c r="O4" s="1286"/>
      <c r="P4" s="1333"/>
      <c r="Q4" s="1332"/>
      <c r="R4" s="291"/>
      <c r="S4" s="1386" t="e">
        <f>INDEX(PT_DIFFERENTIATION_NUM_CS,MATCH(C4,PT_DIFFERENTIATION_CS_ID,0))</f>
        <v>#N/A</v>
      </c>
      <c r="T4" s="247" t="s">
        <v>571</v>
      </c>
      <c r="U4" s="238"/>
      <c r="V4" s="5464"/>
      <c r="W4" s="5464"/>
      <c r="X4" s="5464"/>
      <c r="Y4" s="5464"/>
      <c r="Z4" s="5464"/>
      <c r="AA4" s="5464"/>
      <c r="AB4" s="5464"/>
      <c r="AC4" s="5465"/>
      <c r="AD4" s="5463" t="e">
        <f>INDEX(PT_DIFFERENTIATION_CS,MATCH(C4,PT_DIFFERENTIATION_CS_ID,0))</f>
        <v>#N/A</v>
      </c>
      <c r="AE4" s="5464"/>
      <c r="AF4" s="5464"/>
      <c r="AG4" s="5464"/>
      <c r="AH4" s="5464"/>
      <c r="AI4" s="5464"/>
      <c r="AJ4" s="5464"/>
      <c r="AK4" s="5464"/>
      <c r="AL4" s="5464"/>
      <c r="AM4" s="5464"/>
      <c r="AN4" s="5464"/>
      <c r="AO4" s="5464"/>
      <c r="AP4" s="5464"/>
      <c r="AQ4" s="5464"/>
      <c r="AR4" s="5464"/>
      <c r="AS4" s="5464"/>
      <c r="AT4" s="5464"/>
      <c r="AU4" s="5464"/>
      <c r="AV4" s="5464"/>
      <c r="AW4" s="5464"/>
      <c r="AX4" s="5464"/>
      <c r="AY4" s="5464"/>
      <c r="AZ4" s="5464"/>
      <c r="BA4" s="5464"/>
      <c r="BB4" s="5465"/>
      <c r="BC4" s="1179" t="s">
        <v>572</v>
      </c>
      <c r="BE4" s="438"/>
      <c r="BF4" s="438" t="str">
        <f t="shared" si="0"/>
        <v>Наименование централизованной системы холодного водоснабжения</v>
      </c>
      <c r="BG4" s="438"/>
      <c r="BH4" s="438"/>
      <c r="BI4" s="1076">
        <v>0</v>
      </c>
    </row>
    <row r="5" spans="1:61" s="4275" customFormat="1" ht="14.25" hidden="1" customHeight="1">
      <c r="A5" s="1264"/>
      <c r="B5" s="1264"/>
      <c r="C5" s="1264"/>
      <c r="D5" s="1264"/>
      <c r="E5" s="5470"/>
      <c r="F5" s="5470"/>
      <c r="G5" s="5470"/>
      <c r="H5" s="5469">
        <v>1</v>
      </c>
      <c r="I5" s="1264"/>
      <c r="J5" s="1264"/>
      <c r="K5" s="1264"/>
      <c r="L5" s="1267"/>
      <c r="M5" s="1236"/>
      <c r="N5" s="1236"/>
      <c r="O5" s="1236"/>
      <c r="P5" s="1418"/>
      <c r="Q5" s="1419"/>
      <c r="R5" s="295"/>
      <c r="S5" s="967"/>
      <c r="T5" s="1420"/>
      <c r="U5" s="1305"/>
      <c r="V5" s="5501"/>
      <c r="W5" s="5501"/>
      <c r="X5" s="5501"/>
      <c r="Y5" s="5501"/>
      <c r="Z5" s="5501"/>
      <c r="AA5" s="5501"/>
      <c r="AB5" s="5501"/>
      <c r="AC5" s="5502"/>
      <c r="AD5" s="5500"/>
      <c r="AE5" s="5501"/>
      <c r="AF5" s="5501"/>
      <c r="AG5" s="5501"/>
      <c r="AH5" s="5501"/>
      <c r="AI5" s="5501"/>
      <c r="AJ5" s="5501"/>
      <c r="AK5" s="5501"/>
      <c r="AL5" s="5501"/>
      <c r="AM5" s="5501"/>
      <c r="AN5" s="5501"/>
      <c r="AO5" s="5501"/>
      <c r="AP5" s="5501"/>
      <c r="AQ5" s="5501"/>
      <c r="AR5" s="5501"/>
      <c r="AS5" s="5501"/>
      <c r="AT5" s="5501"/>
      <c r="AU5" s="5501"/>
      <c r="AV5" s="5501"/>
      <c r="AW5" s="5501"/>
      <c r="AX5" s="5501"/>
      <c r="AY5" s="5501"/>
      <c r="AZ5" s="5501"/>
      <c r="BA5" s="5501"/>
      <c r="BB5" s="5502"/>
      <c r="BC5" s="1306" t="s">
        <v>495</v>
      </c>
      <c r="BE5" s="438"/>
      <c r="BF5" s="438" t="str">
        <f t="shared" si="0"/>
        <v/>
      </c>
      <c r="BG5" s="438"/>
      <c r="BH5" s="438"/>
      <c r="BI5" s="449">
        <v>0</v>
      </c>
    </row>
    <row r="6" spans="1:61" s="4275" customFormat="1" ht="14.25" hidden="1" customHeight="1">
      <c r="A6" s="1264"/>
      <c r="B6" s="1264"/>
      <c r="C6" s="1264"/>
      <c r="D6" s="1264"/>
      <c r="E6" s="5470"/>
      <c r="F6" s="5470"/>
      <c r="G6" s="5470"/>
      <c r="H6" s="5470"/>
      <c r="I6" s="5471" t="str">
        <f>S5&amp;".1"</f>
        <v>.1</v>
      </c>
      <c r="J6" s="1264"/>
      <c r="K6" s="1264"/>
      <c r="L6" s="1267" t="s">
        <v>496</v>
      </c>
      <c r="M6" s="448"/>
      <c r="N6" s="448"/>
      <c r="O6" s="448"/>
      <c r="P6" s="5473">
        <v>1</v>
      </c>
      <c r="Q6" s="1383"/>
      <c r="R6" s="294"/>
      <c r="S6" s="967"/>
      <c r="T6" s="1304"/>
      <c r="U6" s="1305"/>
      <c r="V6" s="5501"/>
      <c r="W6" s="5501"/>
      <c r="X6" s="5501"/>
      <c r="Y6" s="5501"/>
      <c r="Z6" s="5501"/>
      <c r="AA6" s="5501"/>
      <c r="AB6" s="5501"/>
      <c r="AC6" s="5502"/>
      <c r="AD6" s="5500"/>
      <c r="AE6" s="5501"/>
      <c r="AF6" s="5501"/>
      <c r="AG6" s="5501"/>
      <c r="AH6" s="5501"/>
      <c r="AI6" s="5501"/>
      <c r="AJ6" s="5501"/>
      <c r="AK6" s="5501"/>
      <c r="AL6" s="5501"/>
      <c r="AM6" s="5501"/>
      <c r="AN6" s="5501"/>
      <c r="AO6" s="5501"/>
      <c r="AP6" s="5501"/>
      <c r="AQ6" s="5501"/>
      <c r="AR6" s="5501"/>
      <c r="AS6" s="5501"/>
      <c r="AT6" s="5501"/>
      <c r="AU6" s="5501"/>
      <c r="AV6" s="5501"/>
      <c r="AW6" s="5501"/>
      <c r="AX6" s="5501"/>
      <c r="AY6" s="5501"/>
      <c r="AZ6" s="5501"/>
      <c r="BA6" s="5501"/>
      <c r="BB6" s="5502"/>
      <c r="BC6" s="1306"/>
      <c r="BE6" s="438"/>
      <c r="BF6" s="438" t="str">
        <f t="shared" si="0"/>
        <v/>
      </c>
      <c r="BG6" s="438"/>
      <c r="BH6" s="438"/>
      <c r="BI6" s="449">
        <v>0</v>
      </c>
    </row>
    <row r="7" spans="1:61" s="4275" customFormat="1" ht="14.25" hidden="1" customHeight="1">
      <c r="A7" s="1264"/>
      <c r="B7" s="1264"/>
      <c r="C7" s="1264"/>
      <c r="D7" s="1264"/>
      <c r="E7" s="5470"/>
      <c r="F7" s="5470"/>
      <c r="G7" s="5470"/>
      <c r="H7" s="5470"/>
      <c r="I7" s="5472"/>
      <c r="J7" s="5471" t="str">
        <f>S5&amp;".1"</f>
        <v>.1</v>
      </c>
      <c r="K7" s="1264"/>
      <c r="L7" s="1267"/>
      <c r="M7" s="448"/>
      <c r="N7" s="448"/>
      <c r="O7" s="448"/>
      <c r="P7" s="5473"/>
      <c r="Q7" s="5473">
        <v>1</v>
      </c>
      <c r="R7" s="295"/>
      <c r="S7" s="967"/>
      <c r="T7" s="1320"/>
      <c r="U7" s="1305"/>
      <c r="V7" s="5501"/>
      <c r="W7" s="5501"/>
      <c r="X7" s="5501"/>
      <c r="Y7" s="5501"/>
      <c r="Z7" s="5501"/>
      <c r="AA7" s="5501"/>
      <c r="AB7" s="5501"/>
      <c r="AC7" s="5502"/>
      <c r="AD7" s="5500"/>
      <c r="AE7" s="5501"/>
      <c r="AF7" s="5501"/>
      <c r="AG7" s="5501"/>
      <c r="AH7" s="5501"/>
      <c r="AI7" s="5501"/>
      <c r="AJ7" s="5501"/>
      <c r="AK7" s="5501"/>
      <c r="AL7" s="5501"/>
      <c r="AM7" s="5501"/>
      <c r="AN7" s="5501"/>
      <c r="AO7" s="5501"/>
      <c r="AP7" s="5501"/>
      <c r="AQ7" s="5501"/>
      <c r="AR7" s="5501"/>
      <c r="AS7" s="5501"/>
      <c r="AT7" s="5501"/>
      <c r="AU7" s="5501"/>
      <c r="AV7" s="5501"/>
      <c r="AW7" s="5501"/>
      <c r="AX7" s="5501"/>
      <c r="AY7" s="5501"/>
      <c r="AZ7" s="5501"/>
      <c r="BA7" s="5501"/>
      <c r="BB7" s="5502"/>
      <c r="BC7" s="1306"/>
      <c r="BE7" s="438"/>
      <c r="BF7" s="438" t="str">
        <f t="shared" si="0"/>
        <v/>
      </c>
      <c r="BG7" s="438"/>
      <c r="BH7" s="438"/>
      <c r="BI7" s="449">
        <v>0</v>
      </c>
    </row>
    <row r="8" spans="1:61" ht="11.25" hidden="1" customHeight="1">
      <c r="A8" s="1284"/>
      <c r="B8" s="1284"/>
      <c r="C8" s="1284"/>
      <c r="D8" s="1284"/>
      <c r="E8" s="5470"/>
      <c r="F8" s="5470"/>
      <c r="G8" s="5470"/>
      <c r="H8" s="5470"/>
      <c r="I8" s="5472"/>
      <c r="J8" s="5472"/>
      <c r="K8" s="5471" t="e">
        <f>S4&amp;".1"</f>
        <v>#N/A</v>
      </c>
      <c r="L8" s="1285"/>
      <c r="P8" s="5473"/>
      <c r="Q8" s="5473"/>
      <c r="R8" s="5529">
        <v>1</v>
      </c>
      <c r="S8" s="5526" t="e">
        <f>$K8</f>
        <v>#N/A</v>
      </c>
      <c r="T8" s="5546"/>
      <c r="U8" s="238"/>
      <c r="V8" s="689"/>
      <c r="W8" s="1178"/>
      <c r="X8" s="689"/>
      <c r="Y8" s="1178"/>
      <c r="Z8" s="1654"/>
      <c r="AA8" s="1380" t="s">
        <v>66</v>
      </c>
      <c r="AB8" s="1654"/>
      <c r="AC8" s="1380" t="s">
        <v>66</v>
      </c>
      <c r="AD8" s="5399" t="s">
        <v>66</v>
      </c>
      <c r="AE8" s="5522"/>
      <c r="AF8" s="5427">
        <v>1</v>
      </c>
      <c r="AG8" s="5545"/>
      <c r="AH8" s="5338" t="s">
        <v>66</v>
      </c>
      <c r="AI8" s="5522"/>
      <c r="AJ8" s="5427">
        <v>1</v>
      </c>
      <c r="AK8" s="5536" t="s">
        <v>28</v>
      </c>
      <c r="AL8" s="5338" t="s">
        <v>66</v>
      </c>
      <c r="AM8" s="5404"/>
      <c r="AN8" s="5427">
        <v>1</v>
      </c>
      <c r="AO8" s="5549"/>
      <c r="AP8" s="5550" t="s">
        <v>66</v>
      </c>
      <c r="AQ8" s="249"/>
      <c r="AR8" s="1384">
        <v>1</v>
      </c>
      <c r="AS8" s="1387" t="s">
        <v>28</v>
      </c>
      <c r="AT8" s="689"/>
      <c r="AU8" s="1178"/>
      <c r="AV8" s="689"/>
      <c r="AW8" s="1178"/>
      <c r="AX8" s="1654"/>
      <c r="AY8" s="1380" t="s">
        <v>66</v>
      </c>
      <c r="AZ8" s="1654"/>
      <c r="BA8" s="1380" t="s">
        <v>66</v>
      </c>
      <c r="BB8" s="1269"/>
      <c r="BC8" s="5492" t="s">
        <v>591</v>
      </c>
      <c r="BE8" s="438"/>
      <c r="BF8" s="438" t="str">
        <f t="shared" si="0"/>
        <v/>
      </c>
      <c r="BG8" s="438"/>
      <c r="BH8" s="438"/>
      <c r="BI8" s="1076">
        <v>0</v>
      </c>
    </row>
    <row r="9" spans="1:61" ht="11.25" hidden="1" customHeight="1">
      <c r="A9" s="1284"/>
      <c r="B9" s="1284"/>
      <c r="C9" s="1284"/>
      <c r="D9" s="1284"/>
      <c r="E9" s="5470"/>
      <c r="F9" s="5470"/>
      <c r="G9" s="5470"/>
      <c r="H9" s="5470"/>
      <c r="I9" s="5472"/>
      <c r="J9" s="5472"/>
      <c r="K9" s="5471"/>
      <c r="L9" s="1285"/>
      <c r="P9" s="5473"/>
      <c r="Q9" s="5473"/>
      <c r="R9" s="5529"/>
      <c r="S9" s="5527"/>
      <c r="T9" s="5547"/>
      <c r="U9" s="238"/>
      <c r="V9" s="1314"/>
      <c r="W9" s="1417"/>
      <c r="X9" s="1314"/>
      <c r="Y9" s="1417"/>
      <c r="Z9" s="1314"/>
      <c r="AA9" s="1314"/>
      <c r="AB9" s="1314"/>
      <c r="AC9" s="1314"/>
      <c r="AD9" s="5400"/>
      <c r="AE9" s="5522"/>
      <c r="AF9" s="5427"/>
      <c r="AG9" s="5545"/>
      <c r="AH9" s="5338"/>
      <c r="AI9" s="5522"/>
      <c r="AJ9" s="5427"/>
      <c r="AK9" s="5536"/>
      <c r="AL9" s="5338"/>
      <c r="AM9" s="5409"/>
      <c r="AN9" s="5427"/>
      <c r="AO9" s="5549"/>
      <c r="AP9" s="5551"/>
      <c r="AQ9" s="254"/>
      <c r="AR9" s="354"/>
      <c r="AS9" s="354" t="s">
        <v>592</v>
      </c>
      <c r="AT9" s="1314"/>
      <c r="AU9" s="1417"/>
      <c r="AV9" s="1314"/>
      <c r="AW9" s="1417"/>
      <c r="AX9" s="1314"/>
      <c r="AY9" s="1314"/>
      <c r="AZ9" s="1314"/>
      <c r="BA9" s="1314"/>
      <c r="BB9" s="1318"/>
      <c r="BC9" s="5493"/>
      <c r="BE9" s="438"/>
      <c r="BF9" s="438"/>
      <c r="BG9" s="438"/>
      <c r="BH9" s="438"/>
      <c r="BI9" s="1076">
        <v>0</v>
      </c>
    </row>
    <row r="10" spans="1:61" ht="11.25" hidden="1" customHeight="1">
      <c r="A10" s="1284"/>
      <c r="B10" s="1284"/>
      <c r="C10" s="1284"/>
      <c r="D10" s="1284"/>
      <c r="E10" s="5470"/>
      <c r="F10" s="5470"/>
      <c r="G10" s="5470"/>
      <c r="H10" s="5470"/>
      <c r="I10" s="5472"/>
      <c r="J10" s="5472"/>
      <c r="K10" s="5471"/>
      <c r="L10" s="1285"/>
      <c r="P10" s="5473"/>
      <c r="Q10" s="5473"/>
      <c r="R10" s="5529"/>
      <c r="S10" s="5527"/>
      <c r="T10" s="5547"/>
      <c r="U10" s="238"/>
      <c r="V10" s="1314"/>
      <c r="W10" s="1417"/>
      <c r="X10" s="1314"/>
      <c r="Y10" s="1417"/>
      <c r="Z10" s="1314"/>
      <c r="AA10" s="1314"/>
      <c r="AB10" s="1314"/>
      <c r="AC10" s="1314"/>
      <c r="AD10" s="5400"/>
      <c r="AE10" s="5522"/>
      <c r="AF10" s="5427"/>
      <c r="AG10" s="5545"/>
      <c r="AH10" s="5338"/>
      <c r="AI10" s="5522"/>
      <c r="AJ10" s="5427"/>
      <c r="AK10" s="5536"/>
      <c r="AL10" s="5338"/>
      <c r="AM10" s="254"/>
      <c r="AN10" s="1421"/>
      <c r="AO10" s="1421" t="s">
        <v>593</v>
      </c>
      <c r="AP10" s="354"/>
      <c r="AQ10" s="354"/>
      <c r="AR10" s="354"/>
      <c r="AS10" s="1314"/>
      <c r="AT10" s="1314"/>
      <c r="AU10" s="1417"/>
      <c r="AV10" s="1314"/>
      <c r="AW10" s="1417"/>
      <c r="AX10" s="1314"/>
      <c r="AY10" s="1314"/>
      <c r="AZ10" s="1314"/>
      <c r="BA10" s="1314"/>
      <c r="BB10" s="1318"/>
      <c r="BC10" s="5493"/>
      <c r="BE10" s="438"/>
      <c r="BF10" s="438"/>
      <c r="BG10" s="438"/>
      <c r="BH10" s="438"/>
      <c r="BI10" s="1076">
        <v>0</v>
      </c>
    </row>
    <row r="11" spans="1:61" ht="11.25" hidden="1" customHeight="1">
      <c r="A11" s="1284"/>
      <c r="B11" s="1284"/>
      <c r="C11" s="1284"/>
      <c r="D11" s="1284"/>
      <c r="E11" s="5470"/>
      <c r="F11" s="5470"/>
      <c r="G11" s="5470"/>
      <c r="H11" s="5470"/>
      <c r="I11" s="5472"/>
      <c r="J11" s="5472"/>
      <c r="K11" s="5471"/>
      <c r="L11" s="1285"/>
      <c r="P11" s="5473"/>
      <c r="Q11" s="5473"/>
      <c r="R11" s="5529"/>
      <c r="S11" s="5527"/>
      <c r="T11" s="5547"/>
      <c r="U11" s="238"/>
      <c r="V11" s="1314"/>
      <c r="W11" s="1417"/>
      <c r="X11" s="1314"/>
      <c r="Y11" s="1417"/>
      <c r="Z11" s="1314"/>
      <c r="AA11" s="1314"/>
      <c r="AB11" s="1314"/>
      <c r="AC11" s="1314"/>
      <c r="AD11" s="5400"/>
      <c r="AE11" s="5522"/>
      <c r="AF11" s="5427"/>
      <c r="AG11" s="5545"/>
      <c r="AH11" s="5338"/>
      <c r="AI11" s="232"/>
      <c r="AJ11" s="353"/>
      <c r="AK11" s="251" t="s">
        <v>594</v>
      </c>
      <c r="AL11" s="1314"/>
      <c r="AM11" s="1314"/>
      <c r="AN11" s="1314"/>
      <c r="AO11" s="1314"/>
      <c r="AP11" s="1314"/>
      <c r="AQ11" s="1314"/>
      <c r="AR11" s="1314"/>
      <c r="AS11" s="1314"/>
      <c r="AT11" s="1314"/>
      <c r="AU11" s="1417"/>
      <c r="AV11" s="1314"/>
      <c r="AW11" s="1417"/>
      <c r="AX11" s="1314"/>
      <c r="AY11" s="1314"/>
      <c r="AZ11" s="1314"/>
      <c r="BA11" s="1314"/>
      <c r="BB11" s="1318"/>
      <c r="BC11" s="5493"/>
      <c r="BE11" s="438"/>
      <c r="BF11" s="438"/>
      <c r="BG11" s="438"/>
      <c r="BH11" s="438"/>
      <c r="BI11" s="1076">
        <v>0</v>
      </c>
    </row>
    <row r="12" spans="1:61" ht="11.25" hidden="1" customHeight="1">
      <c r="A12" s="1284"/>
      <c r="B12" s="1284"/>
      <c r="C12" s="1284"/>
      <c r="D12" s="1284"/>
      <c r="E12" s="5470"/>
      <c r="F12" s="5470"/>
      <c r="G12" s="5470"/>
      <c r="H12" s="5470"/>
      <c r="I12" s="5472"/>
      <c r="J12" s="5472"/>
      <c r="K12" s="5471"/>
      <c r="L12" s="1285"/>
      <c r="P12" s="5473"/>
      <c r="Q12" s="5473"/>
      <c r="R12" s="5529"/>
      <c r="S12" s="5528"/>
      <c r="T12" s="5548"/>
      <c r="U12" s="238"/>
      <c r="V12" s="1314"/>
      <c r="W12" s="1315" t="str">
        <f>Z8&amp;"-"&amp;AB8</f>
        <v>-</v>
      </c>
      <c r="X12" s="1314"/>
      <c r="Y12" s="1315" t="str">
        <f>AB8&amp;"-"&amp;AD8</f>
        <v>-да</v>
      </c>
      <c r="Z12" s="1314"/>
      <c r="AA12" s="1314"/>
      <c r="AB12" s="1314"/>
      <c r="AC12" s="1314"/>
      <c r="AD12" s="5343"/>
      <c r="AE12" s="250"/>
      <c r="AF12" s="252"/>
      <c r="AG12" s="354" t="s">
        <v>595</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5493"/>
      <c r="BE12" s="438"/>
      <c r="BF12" s="438" t="str">
        <f t="shared" ref="BF12:BF18" si="1">IF(T12="","",T12)</f>
        <v/>
      </c>
      <c r="BG12" s="438"/>
      <c r="BH12" s="438"/>
      <c r="BI12" s="1076">
        <v>0</v>
      </c>
    </row>
    <row r="13" spans="1:61" ht="11.25" hidden="1" customHeight="1">
      <c r="A13" s="1284"/>
      <c r="B13" s="1284"/>
      <c r="C13" s="1284"/>
      <c r="D13" s="1284"/>
      <c r="E13" s="5470"/>
      <c r="F13" s="5470"/>
      <c r="G13" s="5470"/>
      <c r="H13" s="5470"/>
      <c r="I13" s="5472"/>
      <c r="J13" s="5471"/>
      <c r="K13" s="1284"/>
      <c r="L13" s="1285"/>
      <c r="P13" s="5473"/>
      <c r="Q13" s="5473"/>
      <c r="R13" s="294"/>
      <c r="S13" s="1199"/>
      <c r="T13" s="225" t="s">
        <v>558</v>
      </c>
      <c r="U13" s="305"/>
      <c r="V13" s="305"/>
      <c r="W13" s="305"/>
      <c r="X13" s="305"/>
      <c r="Y13" s="305"/>
      <c r="Z13" s="305"/>
      <c r="AA13" s="305"/>
      <c r="AB13" s="305"/>
      <c r="AC13" s="305"/>
      <c r="AD13" s="1426"/>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5494"/>
      <c r="BE13" s="438"/>
      <c r="BF13" s="438" t="str">
        <f t="shared" si="1"/>
        <v>Добавить строку</v>
      </c>
      <c r="BG13" s="438"/>
      <c r="BH13" s="438"/>
      <c r="BI13" s="1076">
        <v>0</v>
      </c>
    </row>
    <row r="14" spans="1:61" s="4275" customFormat="1" ht="14.25" hidden="1" customHeight="1">
      <c r="A14" s="1264"/>
      <c r="B14" s="1264"/>
      <c r="C14" s="1264"/>
      <c r="D14" s="1264"/>
      <c r="E14" s="5470"/>
      <c r="F14" s="5470"/>
      <c r="G14" s="5470"/>
      <c r="H14" s="5470"/>
      <c r="I14" s="5471"/>
      <c r="J14" s="1264"/>
      <c r="K14" s="1264"/>
      <c r="L14" s="1267"/>
      <c r="M14" s="448"/>
      <c r="N14" s="448"/>
      <c r="O14" s="448"/>
      <c r="P14" s="5473"/>
      <c r="Q14" s="1383"/>
      <c r="R14" s="294"/>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38"/>
      <c r="BF14" s="438" t="str">
        <f t="shared" si="1"/>
        <v/>
      </c>
      <c r="BG14" s="438"/>
      <c r="BH14" s="438"/>
      <c r="BI14" s="449">
        <v>0</v>
      </c>
    </row>
    <row r="15" spans="1:61" s="4275" customFormat="1" ht="14.25" hidden="1" customHeight="1">
      <c r="A15" s="1264"/>
      <c r="B15" s="1264"/>
      <c r="C15" s="1264"/>
      <c r="D15" s="1264"/>
      <c r="E15" s="5470"/>
      <c r="F15" s="5470"/>
      <c r="G15" s="5470"/>
      <c r="H15" s="5469"/>
      <c r="I15" s="1264"/>
      <c r="J15" s="1264"/>
      <c r="K15" s="1264"/>
      <c r="L15" s="1267"/>
      <c r="M15" s="1236"/>
      <c r="N15" s="1236"/>
      <c r="O15" s="456"/>
      <c r="P15" s="318"/>
      <c r="Q15" s="1265"/>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38"/>
      <c r="BF15" s="438" t="str">
        <f t="shared" si="1"/>
        <v/>
      </c>
      <c r="BG15" s="438"/>
      <c r="BH15" s="438"/>
      <c r="BI15" s="449">
        <v>0</v>
      </c>
    </row>
    <row r="16" spans="1:61" s="4275" customFormat="1" ht="14.25" hidden="1" customHeight="1">
      <c r="A16" s="1264"/>
      <c r="B16" s="1264"/>
      <c r="C16" s="1264"/>
      <c r="D16" s="1235"/>
      <c r="E16" s="5470"/>
      <c r="F16" s="5470"/>
      <c r="G16" s="5469"/>
      <c r="H16" s="1235"/>
      <c r="I16" s="1235"/>
      <c r="J16" s="1235"/>
      <c r="K16" s="1235"/>
      <c r="L16" s="1385"/>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21"/>
      <c r="BF16" s="721" t="str">
        <f t="shared" si="1"/>
        <v/>
      </c>
      <c r="BG16" s="721"/>
      <c r="BH16" s="721"/>
      <c r="BI16" s="456">
        <v>0</v>
      </c>
    </row>
    <row r="17" spans="1:61" s="4275" customFormat="1" ht="14.25" hidden="1" customHeight="1">
      <c r="A17" s="1264"/>
      <c r="B17" s="1264"/>
      <c r="C17" s="1235"/>
      <c r="D17" s="1235"/>
      <c r="E17" s="5470"/>
      <c r="F17" s="5469"/>
      <c r="G17" s="1235"/>
      <c r="H17" s="1235"/>
      <c r="I17" s="1235"/>
      <c r="J17" s="1235"/>
      <c r="K17" s="1235"/>
      <c r="L17" s="1385"/>
      <c r="M17" s="1242"/>
      <c r="N17" s="1242"/>
      <c r="P17" s="1237"/>
      <c r="Q17" s="1238"/>
      <c r="R17" s="1237"/>
      <c r="S17" s="1243"/>
      <c r="T17" s="1246" t="s">
        <v>312</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21"/>
      <c r="BF17" s="721" t="str">
        <f t="shared" si="1"/>
        <v>Добавить централизованную систему для дифференциации</v>
      </c>
      <c r="BG17" s="721"/>
      <c r="BH17" s="721"/>
      <c r="BI17" s="456">
        <v>0</v>
      </c>
    </row>
    <row r="18" spans="1:61" s="4275" customFormat="1" ht="14.25" hidden="1" customHeight="1">
      <c r="A18" s="1264"/>
      <c r="B18" s="1264"/>
      <c r="C18" s="1264"/>
      <c r="D18" s="1264"/>
      <c r="E18" s="5469"/>
      <c r="F18" s="1264"/>
      <c r="G18" s="1264"/>
      <c r="H18" s="1264"/>
      <c r="I18" s="1264"/>
      <c r="J18" s="1264"/>
      <c r="K18" s="1264"/>
      <c r="L18" s="1267"/>
      <c r="M18" s="1242"/>
      <c r="N18" s="1242"/>
      <c r="O18" s="456"/>
      <c r="P18" s="318"/>
      <c r="Q18" s="1265"/>
      <c r="R18" s="318"/>
      <c r="S18" s="1243"/>
      <c r="T18" s="1246" t="s">
        <v>360</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38"/>
      <c r="BF18" s="438" t="str">
        <f t="shared" si="1"/>
        <v>Добавить территорию для дифференциации</v>
      </c>
      <c r="BG18" s="438"/>
      <c r="BH18" s="438"/>
      <c r="BI18" s="449">
        <v>0</v>
      </c>
    </row>
    <row r="19" spans="1:61" ht="14.25" hidden="1" customHeight="1">
      <c r="AC19" s="265"/>
      <c r="BA19" s="265"/>
      <c r="BI19" s="1076">
        <v>0</v>
      </c>
    </row>
    <row r="20" spans="1:61" ht="14.25" hidden="1" customHeight="1">
      <c r="AD20" s="1245" t="s">
        <v>19</v>
      </c>
      <c r="AE20" s="1422"/>
      <c r="AF20" s="486">
        <v>1</v>
      </c>
      <c r="AG20" s="1423"/>
      <c r="AH20" s="1245" t="s">
        <v>19</v>
      </c>
      <c r="AI20" s="1422"/>
      <c r="AJ20" s="486">
        <v>1</v>
      </c>
      <c r="AK20" s="1423"/>
      <c r="AL20" s="1245" t="s">
        <v>19</v>
      </c>
      <c r="AM20" s="1424"/>
      <c r="AN20" s="486">
        <v>1</v>
      </c>
      <c r="AO20" s="1425"/>
      <c r="AP20" s="1245" t="s">
        <v>19</v>
      </c>
      <c r="AQ20" s="1424"/>
      <c r="AR20" s="486">
        <v>1</v>
      </c>
      <c r="AS20" s="1425"/>
      <c r="AT20" s="263"/>
      <c r="AU20" s="322"/>
      <c r="AV20" s="263"/>
      <c r="AW20" s="322"/>
      <c r="AX20" s="1656"/>
      <c r="AY20" s="1381" t="s">
        <v>66</v>
      </c>
      <c r="AZ20" s="1656"/>
      <c r="BA20" s="1381" t="s">
        <v>66</v>
      </c>
      <c r="BI20" s="1076">
        <v>0</v>
      </c>
    </row>
    <row r="21" spans="1:61" ht="14.25" hidden="1" customHeight="1">
      <c r="BD21" s="434"/>
      <c r="BE21" s="434"/>
      <c r="BF21" s="434"/>
      <c r="BG21" s="434"/>
      <c r="BH21" s="434"/>
      <c r="BI21" s="1076">
        <v>0</v>
      </c>
    </row>
    <row r="22" spans="1:61" ht="14.25" hidden="1" customHeight="1">
      <c r="O22" s="1288" t="s">
        <v>508</v>
      </c>
      <c r="Z22" s="1266"/>
      <c r="AB22" s="1266"/>
      <c r="AC22" s="265"/>
      <c r="AX22" s="1266"/>
      <c r="AZ22" s="1266"/>
      <c r="BA22" s="265"/>
      <c r="BD22" s="434"/>
      <c r="BE22" s="434"/>
      <c r="BF22" s="434"/>
      <c r="BG22" s="434"/>
      <c r="BH22" s="434"/>
      <c r="BI22" s="1076">
        <v>0</v>
      </c>
    </row>
    <row r="23" spans="1:61" ht="14.25" hidden="1" customHeight="1">
      <c r="AC23" s="265"/>
      <c r="BA23" s="265"/>
      <c r="BD23" s="434"/>
      <c r="BE23" s="434"/>
      <c r="BF23" s="434"/>
      <c r="BG23" s="434"/>
      <c r="BH23" s="434"/>
      <c r="BI23" s="1076">
        <v>0</v>
      </c>
    </row>
    <row r="24" spans="1:61" s="4305" customFormat="1" ht="14.25" hidden="1" customHeight="1">
      <c r="M24" s="1429"/>
      <c r="N24" s="1429"/>
      <c r="O24" s="1430" t="s">
        <v>509</v>
      </c>
      <c r="P24" s="1429"/>
      <c r="Q24" s="1431"/>
      <c r="R24" s="1431"/>
      <c r="AA24" s="1428" t="s">
        <v>511</v>
      </c>
      <c r="AC24" s="1428" t="s">
        <v>512</v>
      </c>
      <c r="AD24" s="1428" t="s">
        <v>559</v>
      </c>
      <c r="AH24" s="1428" t="s">
        <v>559</v>
      </c>
      <c r="AK24" s="1428" t="s">
        <v>596</v>
      </c>
      <c r="AL24" s="1428" t="s">
        <v>559</v>
      </c>
      <c r="AP24" s="1428" t="s">
        <v>559</v>
      </c>
      <c r="AY24" s="1428" t="s">
        <v>511</v>
      </c>
      <c r="BA24" s="1428" t="s">
        <v>512</v>
      </c>
      <c r="BD24" s="1432"/>
      <c r="BE24" s="1432"/>
      <c r="BF24" s="1432"/>
      <c r="BG24" s="1432"/>
      <c r="BH24" s="1432"/>
      <c r="BI24" s="1428">
        <v>0</v>
      </c>
    </row>
    <row r="25" spans="1:61" ht="14.25" hidden="1" customHeight="1">
      <c r="O25" s="1285"/>
      <c r="BD25" s="434"/>
      <c r="BE25" s="434"/>
      <c r="BF25" s="434"/>
      <c r="BG25" s="434"/>
      <c r="BH25" s="434"/>
      <c r="BI25" s="1076">
        <v>0</v>
      </c>
    </row>
    <row r="26" spans="1:61" ht="14.25" hidden="1" customHeight="1">
      <c r="O26" s="1285"/>
      <c r="BD26" s="434"/>
      <c r="BE26" s="434"/>
      <c r="BF26" s="434"/>
      <c r="BG26" s="434"/>
      <c r="BH26" s="434"/>
      <c r="BI26" s="1076">
        <v>0</v>
      </c>
    </row>
    <row r="27" spans="1:61" ht="14.65" customHeight="1">
      <c r="Q27" s="229"/>
      <c r="R27" s="314"/>
      <c r="S27" s="1196"/>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76">
        <v>14</v>
      </c>
    </row>
    <row r="28" spans="1:61" ht="14.65" customHeight="1">
      <c r="Q28" s="229"/>
      <c r="R28" s="314"/>
      <c r="S28" s="545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5450"/>
      <c r="U28" s="5450"/>
      <c r="V28" s="5450"/>
      <c r="W28" s="5450"/>
      <c r="X28" s="5450"/>
      <c r="Y28" s="5450"/>
      <c r="Z28" s="5450"/>
      <c r="AA28" s="5450"/>
      <c r="AB28" s="5450"/>
      <c r="AC28" s="5450"/>
      <c r="AD28" s="5450"/>
      <c r="AE28" s="5450"/>
      <c r="AF28" s="5450"/>
      <c r="AG28" s="5450"/>
      <c r="AH28" s="5450"/>
      <c r="AI28" s="5450"/>
      <c r="AJ28" s="5450"/>
      <c r="AK28" s="5450"/>
      <c r="AL28" s="5450"/>
      <c r="AM28" s="5450"/>
      <c r="AN28" s="5450"/>
      <c r="AO28" s="5450"/>
      <c r="AP28" s="5450"/>
      <c r="AQ28" s="5450"/>
      <c r="AR28" s="5450"/>
      <c r="AS28" s="5450"/>
      <c r="AT28" s="5450"/>
      <c r="AU28" s="5450"/>
      <c r="AV28" s="5450"/>
      <c r="AW28" s="5450"/>
      <c r="AX28" s="5450"/>
      <c r="AY28" s="5450"/>
      <c r="AZ28" s="5450"/>
      <c r="BA28" s="1164"/>
      <c r="BI28" s="1076">
        <v>14</v>
      </c>
    </row>
    <row r="29" spans="1:61" ht="14.65" customHeight="1">
      <c r="Q29" s="229"/>
      <c r="R29" s="314"/>
      <c r="S29" s="5423" t="str">
        <f>IF(org=0,"Не определено",org)</f>
        <v>КГУП "Примтеплоэнерго"</v>
      </c>
      <c r="T29" s="5423"/>
      <c r="U29" s="5423"/>
      <c r="V29" s="5423"/>
      <c r="W29" s="5423"/>
      <c r="X29" s="5423"/>
      <c r="Y29" s="5423"/>
      <c r="Z29" s="5423"/>
      <c r="AA29" s="5423"/>
      <c r="AB29" s="5423"/>
      <c r="AC29" s="5423"/>
      <c r="AD29" s="5423"/>
      <c r="AE29" s="5423"/>
      <c r="AF29" s="5423"/>
      <c r="AG29" s="5423"/>
      <c r="AH29" s="5423"/>
      <c r="AI29" s="5423"/>
      <c r="AJ29" s="5423"/>
      <c r="AK29" s="5423"/>
      <c r="AL29" s="5423"/>
      <c r="AM29" s="5423"/>
      <c r="AN29" s="5423"/>
      <c r="AO29" s="5423"/>
      <c r="AP29" s="5423"/>
      <c r="AQ29" s="5423"/>
      <c r="AR29" s="5423"/>
      <c r="AS29" s="5423"/>
      <c r="AT29" s="5423"/>
      <c r="AU29" s="5423"/>
      <c r="AV29" s="5423"/>
      <c r="AW29" s="5423"/>
      <c r="AX29" s="5423"/>
      <c r="AY29" s="5423"/>
      <c r="AZ29" s="5423"/>
      <c r="BA29" s="1164"/>
      <c r="BI29" s="1076">
        <v>14</v>
      </c>
    </row>
    <row r="30" spans="1:61" ht="14.25" hidden="1" customHeight="1">
      <c r="Q30" s="229"/>
      <c r="R30" s="314"/>
      <c r="S30" s="1196"/>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76">
        <v>0</v>
      </c>
    </row>
    <row r="31" spans="1:61" s="4284" customFormat="1" ht="25.5" hidden="1" customHeight="1">
      <c r="A31" s="1289"/>
      <c r="B31" s="1289"/>
      <c r="C31" s="1289"/>
      <c r="D31" s="1289"/>
      <c r="E31" s="1289"/>
      <c r="F31" s="1289"/>
      <c r="G31" s="1289"/>
      <c r="H31" s="1289"/>
      <c r="I31" s="1289"/>
      <c r="J31" s="1289"/>
      <c r="K31" s="1289"/>
      <c r="L31" s="1290"/>
      <c r="M31" s="1289"/>
      <c r="N31" s="1289"/>
      <c r="O31" s="1289"/>
      <c r="P31" s="1289"/>
      <c r="Q31" s="1289"/>
      <c r="S31" s="5460" t="s">
        <v>42</v>
      </c>
      <c r="T31" s="5460"/>
      <c r="U31" s="1293"/>
      <c r="V31" s="5462" t="str">
        <f>IF(TITLE_NAME_OR_PR_CHANGE="",IF(TITLE_NAME_OR_PR="","",TITLE_NAME_OR_PR),TITLE_NAME_OR_PR_CHANGE)</f>
        <v/>
      </c>
      <c r="W31" s="5462"/>
      <c r="X31" s="5462"/>
      <c r="Y31" s="5462"/>
      <c r="Z31" s="5462"/>
      <c r="AA31" s="5462"/>
      <c r="AB31" s="5462"/>
      <c r="AC31" s="264"/>
      <c r="AD31" s="5462" t="str">
        <f>IF(TITLE_NAME_OR_PR_CHANGE="",IF(TITLE_NAME_OR_PR="","",TITLE_NAME_OR_PR),TITLE_NAME_OR_PR_CHANGE)</f>
        <v/>
      </c>
      <c r="AE31" s="5462"/>
      <c r="AF31" s="5462"/>
      <c r="AG31" s="5462"/>
      <c r="AH31" s="5462"/>
      <c r="AI31" s="5462"/>
      <c r="AJ31" s="5462"/>
      <c r="AK31" s="5462"/>
      <c r="AL31" s="5462"/>
      <c r="AM31" s="5462"/>
      <c r="AN31" s="5462"/>
      <c r="AO31" s="5462"/>
      <c r="AP31" s="5462"/>
      <c r="AQ31" s="5462"/>
      <c r="AR31" s="5462"/>
      <c r="AS31" s="5462"/>
      <c r="AT31" s="5462"/>
      <c r="AU31" s="5462"/>
      <c r="AV31" s="5462"/>
      <c r="AW31" s="5462"/>
      <c r="AX31" s="5462"/>
      <c r="AY31" s="5462"/>
      <c r="AZ31" s="5462"/>
      <c r="BA31" s="264"/>
      <c r="BB31" s="264"/>
      <c r="BC31" s="218"/>
      <c r="BD31" s="306"/>
      <c r="BE31" s="306"/>
      <c r="BF31" s="306"/>
      <c r="BG31" s="306"/>
      <c r="BH31" s="306"/>
      <c r="BI31" s="356">
        <v>0</v>
      </c>
    </row>
    <row r="32" spans="1:61" s="4284" customFormat="1" ht="18.75" hidden="1" customHeight="1">
      <c r="A32" s="1289"/>
      <c r="B32" s="1289"/>
      <c r="C32" s="1289"/>
      <c r="D32" s="1289"/>
      <c r="E32" s="1289"/>
      <c r="F32" s="1289"/>
      <c r="G32" s="1289"/>
      <c r="H32" s="1289"/>
      <c r="I32" s="1289"/>
      <c r="J32" s="1289"/>
      <c r="K32" s="1289"/>
      <c r="L32" s="1290"/>
      <c r="M32" s="1289"/>
      <c r="N32" s="1289"/>
      <c r="O32" s="1289"/>
      <c r="P32" s="1289"/>
      <c r="Q32" s="1289"/>
      <c r="S32" s="5460" t="s">
        <v>514</v>
      </c>
      <c r="T32" s="5460"/>
      <c r="U32" s="1293"/>
      <c r="V32" s="5461">
        <f>IF(TITLE_DATE_PR_CHANGE="",IF(TITLE_DATE_PR="","",TITLE_DATE_PR),TITLE_DATE_PR_CHANGE)</f>
        <v>45649.605891203704</v>
      </c>
      <c r="W32" s="5461"/>
      <c r="X32" s="5461"/>
      <c r="Y32" s="5461"/>
      <c r="Z32" s="5461"/>
      <c r="AA32" s="5461"/>
      <c r="AB32" s="5461"/>
      <c r="AC32" s="264"/>
      <c r="AD32" s="5461">
        <f>IF(TITLE_DATE_PR_CHANGE="",IF(TITLE_DATE_PR="","",TITLE_DATE_PR),TITLE_DATE_PR_CHANGE)</f>
        <v>45649.605891203704</v>
      </c>
      <c r="AE32" s="5461"/>
      <c r="AF32" s="5461"/>
      <c r="AG32" s="5461"/>
      <c r="AH32" s="5461"/>
      <c r="AI32" s="5461"/>
      <c r="AJ32" s="5461"/>
      <c r="AK32" s="5461"/>
      <c r="AL32" s="5461"/>
      <c r="AM32" s="5461"/>
      <c r="AN32" s="5461"/>
      <c r="AO32" s="5461"/>
      <c r="AP32" s="5461"/>
      <c r="AQ32" s="5461"/>
      <c r="AR32" s="5461"/>
      <c r="AS32" s="5461"/>
      <c r="AT32" s="5461"/>
      <c r="AU32" s="5461"/>
      <c r="AV32" s="5461"/>
      <c r="AW32" s="5461"/>
      <c r="AX32" s="5461"/>
      <c r="AY32" s="5461"/>
      <c r="AZ32" s="5461"/>
      <c r="BA32" s="264"/>
      <c r="BB32" s="264"/>
      <c r="BC32" s="218"/>
      <c r="BD32" s="306"/>
      <c r="BE32" s="306"/>
      <c r="BF32" s="306"/>
      <c r="BG32" s="306"/>
      <c r="BH32" s="306"/>
      <c r="BI32" s="356">
        <v>0</v>
      </c>
    </row>
    <row r="33" spans="1:61" s="4284" customFormat="1" ht="18.75" hidden="1" customHeight="1">
      <c r="A33" s="1289"/>
      <c r="B33" s="1289"/>
      <c r="C33" s="1289"/>
      <c r="D33" s="1289"/>
      <c r="E33" s="1289"/>
      <c r="F33" s="1289"/>
      <c r="G33" s="1289"/>
      <c r="H33" s="1289"/>
      <c r="I33" s="1289"/>
      <c r="J33" s="1289"/>
      <c r="K33" s="1289"/>
      <c r="L33" s="1290"/>
      <c r="M33" s="1289"/>
      <c r="N33" s="1289"/>
      <c r="O33" s="1289"/>
      <c r="P33" s="1289"/>
      <c r="Q33" s="1289"/>
      <c r="S33" s="5460" t="s">
        <v>515</v>
      </c>
      <c r="T33" s="5460"/>
      <c r="U33" s="1293"/>
      <c r="V33" s="5462" t="str">
        <f>IF(TITLE_NUMBER_PR_CHANGE="",IF(TITLE_NUMBER_PR="","",TITLE_NUMBER_PR),TITLE_NUMBER_PR_CHANGE)</f>
        <v>27-6414</v>
      </c>
      <c r="W33" s="5462"/>
      <c r="X33" s="5462"/>
      <c r="Y33" s="5462"/>
      <c r="Z33" s="5462"/>
      <c r="AA33" s="5462"/>
      <c r="AB33" s="5462"/>
      <c r="AC33" s="264"/>
      <c r="AD33" s="5462" t="str">
        <f>IF(TITLE_NUMBER_PR_CHANGE="",IF(TITLE_NUMBER_PR="","",TITLE_NUMBER_PR),TITLE_NUMBER_PR_CHANGE)</f>
        <v>27-6414</v>
      </c>
      <c r="AE33" s="5462"/>
      <c r="AF33" s="5462"/>
      <c r="AG33" s="5462"/>
      <c r="AH33" s="5462"/>
      <c r="AI33" s="5462"/>
      <c r="AJ33" s="5462"/>
      <c r="AK33" s="5462"/>
      <c r="AL33" s="5462"/>
      <c r="AM33" s="5462"/>
      <c r="AN33" s="5462"/>
      <c r="AO33" s="5462"/>
      <c r="AP33" s="5462"/>
      <c r="AQ33" s="5462"/>
      <c r="AR33" s="5462"/>
      <c r="AS33" s="5462"/>
      <c r="AT33" s="5462"/>
      <c r="AU33" s="5462"/>
      <c r="AV33" s="5462"/>
      <c r="AW33" s="5462"/>
      <c r="AX33" s="5462"/>
      <c r="AY33" s="5462"/>
      <c r="AZ33" s="5462"/>
      <c r="BA33" s="264"/>
      <c r="BB33" s="264"/>
      <c r="BC33" s="218"/>
      <c r="BD33" s="306"/>
      <c r="BE33" s="306"/>
      <c r="BF33" s="306"/>
      <c r="BG33" s="306"/>
      <c r="BH33" s="306"/>
      <c r="BI33" s="356">
        <v>0</v>
      </c>
    </row>
    <row r="34" spans="1:61" s="4284" customFormat="1" ht="18.75" hidden="1" customHeight="1">
      <c r="A34" s="1289"/>
      <c r="B34" s="1289"/>
      <c r="C34" s="1289"/>
      <c r="D34" s="1289"/>
      <c r="E34" s="1289"/>
      <c r="F34" s="1289"/>
      <c r="G34" s="1289"/>
      <c r="H34" s="1289"/>
      <c r="I34" s="1289"/>
      <c r="J34" s="1289"/>
      <c r="K34" s="1289"/>
      <c r="L34" s="1290"/>
      <c r="M34" s="1289"/>
      <c r="N34" s="1289"/>
      <c r="O34" s="1289"/>
      <c r="P34" s="1289"/>
      <c r="Q34" s="1289"/>
      <c r="S34" s="5460" t="s">
        <v>43</v>
      </c>
      <c r="T34" s="5460"/>
      <c r="U34" s="1293"/>
      <c r="V34" s="5462" t="str">
        <f>IF(TITLE_IST_PUB_CHANGE="",IF(TITLE_IST_PUB="","",TITLE_IST_PUB),TITLE_IST_PUB_CHANGE)</f>
        <v/>
      </c>
      <c r="W34" s="5462"/>
      <c r="X34" s="5462"/>
      <c r="Y34" s="5462"/>
      <c r="Z34" s="5462"/>
      <c r="AA34" s="5462"/>
      <c r="AB34" s="5462"/>
      <c r="AC34" s="264"/>
      <c r="AD34" s="5462" t="str">
        <f>IF(TITLE_IST_PUB_CHANGE="",IF(TITLE_IST_PUB="","",TITLE_IST_PUB),TITLE_IST_PUB_CHANGE)</f>
        <v/>
      </c>
      <c r="AE34" s="5462"/>
      <c r="AF34" s="5462"/>
      <c r="AG34" s="5462"/>
      <c r="AH34" s="5462"/>
      <c r="AI34" s="5462"/>
      <c r="AJ34" s="5462"/>
      <c r="AK34" s="5462"/>
      <c r="AL34" s="5462"/>
      <c r="AM34" s="5462"/>
      <c r="AN34" s="5462"/>
      <c r="AO34" s="5462"/>
      <c r="AP34" s="5462"/>
      <c r="AQ34" s="5462"/>
      <c r="AR34" s="5462"/>
      <c r="AS34" s="5462"/>
      <c r="AT34" s="5462"/>
      <c r="AU34" s="5462"/>
      <c r="AV34" s="5462"/>
      <c r="AW34" s="5462"/>
      <c r="AX34" s="5462"/>
      <c r="AY34" s="5462"/>
      <c r="AZ34" s="5462"/>
      <c r="BA34" s="264"/>
      <c r="BB34" s="264"/>
      <c r="BC34" s="218"/>
      <c r="BD34" s="306"/>
      <c r="BE34" s="306"/>
      <c r="BF34" s="306"/>
      <c r="BG34" s="306"/>
      <c r="BH34" s="306"/>
      <c r="BI34" s="356">
        <v>0</v>
      </c>
    </row>
    <row r="35" spans="1:61" ht="14.25" customHeight="1">
      <c r="Q35" s="229"/>
      <c r="R35" s="314"/>
      <c r="S35" s="1196"/>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76">
        <v>0</v>
      </c>
    </row>
    <row r="36" spans="1:61" s="4284" customFormat="1" ht="18.75" customHeight="1">
      <c r="A36" s="1289"/>
      <c r="B36" s="1289"/>
      <c r="C36" s="1289"/>
      <c r="D36" s="1289"/>
      <c r="E36" s="1289"/>
      <c r="F36" s="1289"/>
      <c r="G36" s="1289"/>
      <c r="H36" s="1289"/>
      <c r="I36" s="1289"/>
      <c r="J36" s="1289"/>
      <c r="K36" s="1289"/>
      <c r="L36" s="1290"/>
      <c r="M36" s="1289"/>
      <c r="N36" s="1289"/>
      <c r="O36" s="1289"/>
      <c r="P36" s="1289"/>
      <c r="Q36" s="1289"/>
      <c r="S36" s="5460" t="s">
        <v>514</v>
      </c>
      <c r="T36" s="5460"/>
      <c r="U36" s="1293"/>
      <c r="V36" s="5461">
        <f>IF(TITLE_DATE_PR_CHANGE="",IF(TITLE_DATE_PR="","",TITLE_DATE_PR),TITLE_DATE_PR_CHANGE)</f>
        <v>45649.605891203704</v>
      </c>
      <c r="W36" s="5461"/>
      <c r="X36" s="5461"/>
      <c r="Y36" s="5461"/>
      <c r="Z36" s="5461"/>
      <c r="AA36" s="5461"/>
      <c r="AB36" s="5461"/>
      <c r="AC36" s="264"/>
      <c r="AD36" s="5461">
        <f>IF(TITLE_DATE_PR_CHANGE="",IF(TITLE_DATE_PR="","",TITLE_DATE_PR),TITLE_DATE_PR_CHANGE)</f>
        <v>45649.605891203704</v>
      </c>
      <c r="AE36" s="5461"/>
      <c r="AF36" s="5461"/>
      <c r="AG36" s="5461"/>
      <c r="AH36" s="5461"/>
      <c r="AI36" s="5461"/>
      <c r="AJ36" s="5461"/>
      <c r="AK36" s="5461"/>
      <c r="AL36" s="5461"/>
      <c r="AM36" s="5461"/>
      <c r="AN36" s="5461"/>
      <c r="AO36" s="5461"/>
      <c r="AP36" s="5461"/>
      <c r="AQ36" s="5461"/>
      <c r="AR36" s="5461"/>
      <c r="AS36" s="5461"/>
      <c r="AT36" s="5461"/>
      <c r="AU36" s="5461"/>
      <c r="AV36" s="5461"/>
      <c r="AW36" s="5461"/>
      <c r="AX36" s="5461"/>
      <c r="AY36" s="5461"/>
      <c r="AZ36" s="5461"/>
      <c r="BA36" s="264"/>
      <c r="BB36" s="264"/>
      <c r="BC36" s="218"/>
      <c r="BD36" s="306"/>
      <c r="BE36" s="306"/>
      <c r="BF36" s="306"/>
      <c r="BG36" s="306"/>
      <c r="BH36" s="306"/>
      <c r="BI36" s="356">
        <v>0</v>
      </c>
    </row>
    <row r="37" spans="1:61" s="4284" customFormat="1" ht="18.75" customHeight="1">
      <c r="A37" s="1289"/>
      <c r="B37" s="1289"/>
      <c r="C37" s="1289"/>
      <c r="D37" s="1289"/>
      <c r="E37" s="1289"/>
      <c r="F37" s="1289"/>
      <c r="G37" s="1289"/>
      <c r="H37" s="1289"/>
      <c r="I37" s="1289"/>
      <c r="J37" s="1289"/>
      <c r="K37" s="1289"/>
      <c r="L37" s="1290"/>
      <c r="M37" s="1289"/>
      <c r="N37" s="1289"/>
      <c r="O37" s="1289"/>
      <c r="P37" s="1289"/>
      <c r="Q37" s="1289"/>
      <c r="S37" s="5460" t="s">
        <v>515</v>
      </c>
      <c r="T37" s="5460"/>
      <c r="U37" s="1293"/>
      <c r="V37" s="5462" t="str">
        <f>IF(TITLE_NUMBER_PR_CHANGE="",IF(TITLE_NUMBER_PR="","",TITLE_NUMBER_PR),TITLE_NUMBER_PR_CHANGE)</f>
        <v>27-6414</v>
      </c>
      <c r="W37" s="5462"/>
      <c r="X37" s="5462"/>
      <c r="Y37" s="5462"/>
      <c r="Z37" s="5462"/>
      <c r="AA37" s="5462"/>
      <c r="AB37" s="5462"/>
      <c r="AC37" s="264"/>
      <c r="AD37" s="5462" t="str">
        <f>IF(TITLE_NUMBER_PR_CHANGE="",IF(TITLE_NUMBER_PR="","",TITLE_NUMBER_PR),TITLE_NUMBER_PR_CHANGE)</f>
        <v>27-6414</v>
      </c>
      <c r="AE37" s="5462"/>
      <c r="AF37" s="5462"/>
      <c r="AG37" s="5462"/>
      <c r="AH37" s="5462"/>
      <c r="AI37" s="5462"/>
      <c r="AJ37" s="5462"/>
      <c r="AK37" s="5462"/>
      <c r="AL37" s="5462"/>
      <c r="AM37" s="5462"/>
      <c r="AN37" s="5462"/>
      <c r="AO37" s="5462"/>
      <c r="AP37" s="5462"/>
      <c r="AQ37" s="5462"/>
      <c r="AR37" s="5462"/>
      <c r="AS37" s="5462"/>
      <c r="AT37" s="5462"/>
      <c r="AU37" s="5462"/>
      <c r="AV37" s="5462"/>
      <c r="AW37" s="5462"/>
      <c r="AX37" s="5462"/>
      <c r="AY37" s="5462"/>
      <c r="AZ37" s="5462"/>
      <c r="BA37" s="264"/>
      <c r="BB37" s="264"/>
      <c r="BC37" s="218"/>
      <c r="BD37" s="306"/>
      <c r="BE37" s="306"/>
      <c r="BF37" s="306"/>
      <c r="BG37" s="306"/>
      <c r="BH37" s="306"/>
      <c r="BI37" s="356">
        <v>0</v>
      </c>
    </row>
    <row r="38" spans="1:61" s="4284" customFormat="1" ht="0" hidden="1" customHeight="1">
      <c r="A38" s="1289"/>
      <c r="B38" s="1289"/>
      <c r="C38" s="1289"/>
      <c r="D38" s="1289"/>
      <c r="E38" s="1289"/>
      <c r="F38" s="1289"/>
      <c r="G38" s="1289"/>
      <c r="H38" s="1289"/>
      <c r="I38" s="1289"/>
      <c r="J38" s="1289"/>
      <c r="K38" s="1289"/>
      <c r="L38" s="1290"/>
      <c r="M38" s="1289"/>
      <c r="N38" s="1289"/>
      <c r="O38" s="1289"/>
      <c r="P38" s="1289"/>
      <c r="Q38" s="1289"/>
      <c r="S38" s="261"/>
      <c r="T38" s="261"/>
      <c r="U38" s="1375"/>
      <c r="V38" s="264"/>
      <c r="W38" s="264"/>
      <c r="X38" s="264"/>
      <c r="Y38" s="264"/>
      <c r="Z38" s="264"/>
      <c r="AA38" s="264"/>
      <c r="AB38" s="264"/>
      <c r="AC38" s="216" t="s">
        <v>518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518</v>
      </c>
      <c r="BD38" s="306"/>
      <c r="BE38" s="306"/>
      <c r="BF38" s="306"/>
      <c r="BG38" s="306"/>
      <c r="BH38" s="306"/>
      <c r="BI38" s="356">
        <v>0</v>
      </c>
    </row>
    <row r="39" spans="1:61" ht="14.65" customHeight="1">
      <c r="Q39" s="229"/>
      <c r="R39" s="314"/>
      <c r="S39" s="1196"/>
      <c r="T39" s="301"/>
      <c r="U39" s="1165"/>
      <c r="V39" s="5481"/>
      <c r="W39" s="5481"/>
      <c r="X39" s="5481"/>
      <c r="Y39" s="5481"/>
      <c r="Z39" s="5481"/>
      <c r="AA39" s="5481"/>
      <c r="AB39" s="5481"/>
      <c r="AC39" s="5481"/>
      <c r="AD39" s="5481"/>
      <c r="AE39" s="5481"/>
      <c r="AF39" s="5481"/>
      <c r="AG39" s="5481"/>
      <c r="AH39" s="5481"/>
      <c r="AI39" s="5481"/>
      <c r="AJ39" s="5481"/>
      <c r="AK39" s="5481"/>
      <c r="AL39" s="5481"/>
      <c r="AM39" s="5481"/>
      <c r="AN39" s="5481"/>
      <c r="AO39" s="5481"/>
      <c r="AP39" s="5481"/>
      <c r="AQ39" s="5481"/>
      <c r="AR39" s="5481"/>
      <c r="AS39" s="5481"/>
      <c r="AT39" s="5481"/>
      <c r="AU39" s="5481"/>
      <c r="AV39" s="5481"/>
      <c r="AW39" s="5481"/>
      <c r="AX39" s="5481"/>
      <c r="AY39" s="5481"/>
      <c r="AZ39" s="5481"/>
      <c r="BA39" s="5481"/>
      <c r="BI39" s="1076">
        <v>14</v>
      </c>
    </row>
    <row r="40" spans="1:61" ht="14.65" customHeight="1">
      <c r="Q40" s="229"/>
      <c r="R40" s="314"/>
      <c r="S40" s="5328" t="s">
        <v>393</v>
      </c>
      <c r="T40" s="5328"/>
      <c r="U40" s="5328"/>
      <c r="V40" s="5328"/>
      <c r="W40" s="5328"/>
      <c r="X40" s="5328"/>
      <c r="Y40" s="5328"/>
      <c r="Z40" s="5328"/>
      <c r="AA40" s="5328"/>
      <c r="AB40" s="5328"/>
      <c r="AC40" s="5328"/>
      <c r="AD40" s="5328"/>
      <c r="AE40" s="5328"/>
      <c r="AF40" s="5328"/>
      <c r="AG40" s="5328"/>
      <c r="AH40" s="5328"/>
      <c r="AI40" s="5328"/>
      <c r="AJ40" s="5328"/>
      <c r="AK40" s="5328"/>
      <c r="AL40" s="5328"/>
      <c r="AM40" s="5328"/>
      <c r="AN40" s="5328"/>
      <c r="AO40" s="5328"/>
      <c r="AP40" s="5328"/>
      <c r="AQ40" s="5328"/>
      <c r="AR40" s="5328"/>
      <c r="AS40" s="5328"/>
      <c r="AT40" s="5328"/>
      <c r="AU40" s="5328"/>
      <c r="AV40" s="5328"/>
      <c r="AW40" s="5328"/>
      <c r="AX40" s="5328"/>
      <c r="AY40" s="5328"/>
      <c r="AZ40" s="5328"/>
      <c r="BA40" s="5328"/>
      <c r="BB40" s="5328"/>
      <c r="BC40" s="5328" t="s">
        <v>394</v>
      </c>
      <c r="BI40" s="1076">
        <v>14</v>
      </c>
    </row>
    <row r="41" spans="1:61" ht="14.65" customHeight="1">
      <c r="Q41" s="229"/>
      <c r="R41" s="314"/>
      <c r="S41" s="5482" t="s">
        <v>88</v>
      </c>
      <c r="T41" s="5431" t="s">
        <v>597</v>
      </c>
      <c r="U41" s="239"/>
      <c r="V41" s="5483" t="s">
        <v>520</v>
      </c>
      <c r="W41" s="5484"/>
      <c r="X41" s="5484"/>
      <c r="Y41" s="5484"/>
      <c r="Z41" s="5484"/>
      <c r="AA41" s="5484"/>
      <c r="AB41" s="5485"/>
      <c r="AC41" s="5486" t="s">
        <v>521</v>
      </c>
      <c r="AD41" s="5515" t="s">
        <v>598</v>
      </c>
      <c r="AE41" s="5499"/>
      <c r="AF41" s="5499"/>
      <c r="AG41" s="5516"/>
      <c r="AH41" s="5515" t="s">
        <v>599</v>
      </c>
      <c r="AI41" s="5499"/>
      <c r="AJ41" s="5499"/>
      <c r="AK41" s="5516"/>
      <c r="AL41" s="5515" t="s">
        <v>600</v>
      </c>
      <c r="AM41" s="5499"/>
      <c r="AN41" s="5499"/>
      <c r="AO41" s="5516"/>
      <c r="AP41" s="5515" t="s">
        <v>601</v>
      </c>
      <c r="AQ41" s="5499"/>
      <c r="AR41" s="5499"/>
      <c r="AS41" s="5516"/>
      <c r="AT41" s="5483" t="s">
        <v>520</v>
      </c>
      <c r="AU41" s="5484"/>
      <c r="AV41" s="5484"/>
      <c r="AW41" s="5484"/>
      <c r="AX41" s="5484"/>
      <c r="AY41" s="5484"/>
      <c r="AZ41" s="5485"/>
      <c r="BA41" s="5486" t="s">
        <v>521</v>
      </c>
      <c r="BB41" s="5489" t="s">
        <v>523</v>
      </c>
      <c r="BC41" s="5328"/>
      <c r="BI41" s="1076">
        <v>14</v>
      </c>
    </row>
    <row r="42" spans="1:61" ht="35.65" customHeight="1">
      <c r="Q42" s="229"/>
      <c r="R42" s="314"/>
      <c r="S42" s="5482"/>
      <c r="T42" s="5431"/>
      <c r="U42" s="956"/>
      <c r="V42" s="5404" t="s">
        <v>602</v>
      </c>
      <c r="W42" s="5405"/>
      <c r="X42" s="5404" t="s">
        <v>603</v>
      </c>
      <c r="Y42" s="5405"/>
      <c r="Z42" s="5404" t="s">
        <v>604</v>
      </c>
      <c r="AA42" s="5511"/>
      <c r="AB42" s="5405"/>
      <c r="AC42" s="5487"/>
      <c r="AD42" s="5517"/>
      <c r="AE42" s="5518"/>
      <c r="AF42" s="5518"/>
      <c r="AG42" s="5530"/>
      <c r="AH42" s="5517"/>
      <c r="AI42" s="5518"/>
      <c r="AJ42" s="5518"/>
      <c r="AK42" s="5530"/>
      <c r="AL42" s="5517"/>
      <c r="AM42" s="5518"/>
      <c r="AN42" s="5518"/>
      <c r="AO42" s="5530"/>
      <c r="AP42" s="5517"/>
      <c r="AQ42" s="5518"/>
      <c r="AR42" s="5518"/>
      <c r="AS42" s="5530"/>
      <c r="AT42" s="5404" t="s">
        <v>602</v>
      </c>
      <c r="AU42" s="5405"/>
      <c r="AV42" s="5404" t="s">
        <v>603</v>
      </c>
      <c r="AW42" s="5405"/>
      <c r="AX42" s="5404" t="s">
        <v>604</v>
      </c>
      <c r="AY42" s="5511"/>
      <c r="AZ42" s="5405"/>
      <c r="BA42" s="5487"/>
      <c r="BB42" s="5490"/>
      <c r="BC42" s="5328"/>
      <c r="BI42" s="1076">
        <v>34</v>
      </c>
    </row>
    <row r="43" spans="1:61" ht="14.65" customHeight="1">
      <c r="Q43" s="229"/>
      <c r="R43" s="314"/>
      <c r="S43" s="5482"/>
      <c r="T43" s="5431"/>
      <c r="U43" s="956"/>
      <c r="V43" s="5409"/>
      <c r="W43" s="5410"/>
      <c r="X43" s="5409"/>
      <c r="Y43" s="5410"/>
      <c r="Z43" s="5409"/>
      <c r="AA43" s="5512"/>
      <c r="AB43" s="5410"/>
      <c r="AC43" s="5487"/>
      <c r="AD43" s="5517"/>
      <c r="AE43" s="5518"/>
      <c r="AF43" s="5518"/>
      <c r="AG43" s="5530"/>
      <c r="AH43" s="5517"/>
      <c r="AI43" s="5518"/>
      <c r="AJ43" s="5518"/>
      <c r="AK43" s="5530"/>
      <c r="AL43" s="5517"/>
      <c r="AM43" s="5518"/>
      <c r="AN43" s="5518"/>
      <c r="AO43" s="5530"/>
      <c r="AP43" s="5517"/>
      <c r="AQ43" s="5518"/>
      <c r="AR43" s="5518"/>
      <c r="AS43" s="5530"/>
      <c r="AT43" s="5409"/>
      <c r="AU43" s="5410"/>
      <c r="AV43" s="5409"/>
      <c r="AW43" s="5410"/>
      <c r="AX43" s="5409"/>
      <c r="AY43" s="5512"/>
      <c r="AZ43" s="5410"/>
      <c r="BA43" s="5487"/>
      <c r="BB43" s="5490"/>
      <c r="BC43" s="5328"/>
      <c r="BI43" s="1076">
        <v>14</v>
      </c>
    </row>
    <row r="44" spans="1:61" ht="14.65" customHeight="1">
      <c r="A44" s="1291"/>
      <c r="B44" s="1291" t="s">
        <v>167</v>
      </c>
      <c r="C44" s="1291" t="s">
        <v>168</v>
      </c>
      <c r="D44" s="1291" t="s">
        <v>169</v>
      </c>
      <c r="E44" s="1285" t="s">
        <v>528</v>
      </c>
      <c r="F44" s="1285" t="s">
        <v>529</v>
      </c>
      <c r="G44" s="1285" t="s">
        <v>530</v>
      </c>
      <c r="H44" s="1285" t="s">
        <v>531</v>
      </c>
      <c r="I44" s="1285" t="s">
        <v>532</v>
      </c>
      <c r="J44" s="1285" t="s">
        <v>533</v>
      </c>
      <c r="K44" s="1285" t="s">
        <v>534</v>
      </c>
      <c r="L44" s="1285" t="s">
        <v>509</v>
      </c>
      <c r="Q44" s="229"/>
      <c r="R44" s="314"/>
      <c r="S44" s="5482"/>
      <c r="T44" s="5431"/>
      <c r="U44" s="240"/>
      <c r="V44" s="1369" t="s">
        <v>568</v>
      </c>
      <c r="W44" s="1369" t="s">
        <v>569</v>
      </c>
      <c r="X44" s="1369" t="s">
        <v>568</v>
      </c>
      <c r="Y44" s="1369" t="s">
        <v>569</v>
      </c>
      <c r="Z44" s="1376" t="s">
        <v>537</v>
      </c>
      <c r="AA44" s="5436" t="s">
        <v>538</v>
      </c>
      <c r="AB44" s="5449"/>
      <c r="AC44" s="5488"/>
      <c r="AD44" s="5519"/>
      <c r="AE44" s="5520"/>
      <c r="AF44" s="5520"/>
      <c r="AG44" s="5521"/>
      <c r="AH44" s="5519"/>
      <c r="AI44" s="5520"/>
      <c r="AJ44" s="5520"/>
      <c r="AK44" s="5521"/>
      <c r="AL44" s="5519"/>
      <c r="AM44" s="5520"/>
      <c r="AN44" s="5520"/>
      <c r="AO44" s="5521"/>
      <c r="AP44" s="5519"/>
      <c r="AQ44" s="5520"/>
      <c r="AR44" s="5520"/>
      <c r="AS44" s="5521"/>
      <c r="AT44" s="1369" t="s">
        <v>568</v>
      </c>
      <c r="AU44" s="1369" t="s">
        <v>569</v>
      </c>
      <c r="AV44" s="1369" t="s">
        <v>568</v>
      </c>
      <c r="AW44" s="1369" t="s">
        <v>569</v>
      </c>
      <c r="AX44" s="1376" t="s">
        <v>537</v>
      </c>
      <c r="AY44" s="5436" t="s">
        <v>538</v>
      </c>
      <c r="AZ44" s="5449"/>
      <c r="BA44" s="5488"/>
      <c r="BB44" s="5491"/>
      <c r="BC44" s="5328"/>
      <c r="BI44" s="1076">
        <v>14</v>
      </c>
    </row>
    <row r="45" spans="1:61" s="4299" customFormat="1" ht="11.25" hidden="1" customHeight="1">
      <c r="A45" s="1291"/>
      <c r="B45" s="1291"/>
      <c r="C45" s="1291"/>
      <c r="D45" s="1291"/>
      <c r="E45" s="1291"/>
      <c r="F45" s="1291"/>
      <c r="G45" s="1291"/>
      <c r="H45" s="1291"/>
      <c r="I45" s="1291"/>
      <c r="J45" s="1291"/>
      <c r="K45" s="1291"/>
      <c r="L45" s="1285"/>
      <c r="M45" s="1283"/>
      <c r="N45" s="1283"/>
      <c r="O45" s="1283"/>
      <c r="P45" s="448"/>
      <c r="Q45" s="1175"/>
      <c r="R45" s="1175">
        <v>1</v>
      </c>
      <c r="S45" s="1198" t="s">
        <v>136</v>
      </c>
      <c r="T45" s="1176" t="s">
        <v>103</v>
      </c>
      <c r="U45" s="1166" t="str">
        <f ca="1">OFFSET(U45,0,-1)</f>
        <v>2</v>
      </c>
      <c r="V45" s="1372">
        <f t="shared" ref="V45:AA45" ca="1" si="2">OFFSET(V45,0,-1)+1</f>
        <v>3</v>
      </c>
      <c r="W45" s="1372">
        <f t="shared" ca="1" si="2"/>
        <v>4</v>
      </c>
      <c r="X45" s="1372">
        <f t="shared" ca="1" si="2"/>
        <v>5</v>
      </c>
      <c r="Y45" s="1372">
        <f t="shared" ca="1" si="2"/>
        <v>6</v>
      </c>
      <c r="Z45" s="1372">
        <f t="shared" ca="1" si="2"/>
        <v>7</v>
      </c>
      <c r="AA45" s="5480">
        <f t="shared" ca="1" si="2"/>
        <v>8</v>
      </c>
      <c r="AB45" s="5480"/>
      <c r="AC45" s="1372">
        <f ca="1">OFFSET(AC45,0,-2)+1</f>
        <v>9</v>
      </c>
      <c r="AD45" s="1372">
        <f ca="1">OFFSET(AD45,0,-1)+1</f>
        <v>10</v>
      </c>
      <c r="AE45" s="1372"/>
      <c r="AF45" s="1372"/>
      <c r="AG45" s="1372"/>
      <c r="AH45" s="1372"/>
      <c r="AI45" s="1372"/>
      <c r="AJ45" s="1372"/>
      <c r="AK45" s="1372"/>
      <c r="AL45" s="1372"/>
      <c r="AM45" s="1372"/>
      <c r="AN45" s="1372"/>
      <c r="AO45" s="1372"/>
      <c r="AP45" s="1372"/>
      <c r="AQ45" s="1372"/>
      <c r="AR45" s="1372"/>
      <c r="AS45" s="1372"/>
      <c r="AT45" s="1372"/>
      <c r="AU45" s="1372"/>
      <c r="AV45" s="1372"/>
      <c r="AW45" s="1372">
        <f ca="1">OFFSET(AW45,0,-1)+1</f>
        <v>1</v>
      </c>
      <c r="AX45" s="1372">
        <f ca="1">OFFSET(AX45,0,-1)+1</f>
        <v>2</v>
      </c>
      <c r="AY45" s="5480">
        <f ca="1">OFFSET(AY45,0,-1)+1</f>
        <v>3</v>
      </c>
      <c r="AZ45" s="5480"/>
      <c r="BA45" s="1372">
        <f ca="1">OFFSET(BA45,0,-2)+1</f>
        <v>4</v>
      </c>
      <c r="BB45" s="1166">
        <f ca="1">OFFSET(BB45,0,-1)</f>
        <v>4</v>
      </c>
      <c r="BC45" s="1372">
        <f ca="1">OFFSET(BC45,0,-1)+1</f>
        <v>5</v>
      </c>
      <c r="BD45" s="449"/>
      <c r="BE45" s="449"/>
      <c r="BF45" s="449"/>
      <c r="BG45" s="449"/>
      <c r="BH45" s="449"/>
      <c r="BI45" s="434">
        <v>0</v>
      </c>
    </row>
    <row r="46" spans="1:61" ht="21.95" customHeight="1">
      <c r="A46" s="1284" t="s">
        <v>275</v>
      </c>
      <c r="B46" s="1284"/>
      <c r="C46" s="1284"/>
      <c r="D46" s="1284"/>
      <c r="E46" s="5469">
        <v>1</v>
      </c>
      <c r="F46" s="1284"/>
      <c r="G46" s="1284"/>
      <c r="H46" s="1284"/>
      <c r="I46" s="1284"/>
      <c r="J46" s="1284"/>
      <c r="K46" s="1284"/>
      <c r="L46" s="1285"/>
      <c r="M46" s="1286"/>
      <c r="N46" s="1286"/>
      <c r="O46" s="1286"/>
      <c r="P46" s="1330"/>
      <c r="Q46" s="801"/>
      <c r="R46" s="293"/>
      <c r="S46" s="1378">
        <f>INDEX(PT_DIFFERENTIATION_NUM_NTAR,MATCH(A46,PT_DIFFERENTIATION_NTAR_ID,0))</f>
        <v>0</v>
      </c>
      <c r="T46" s="236" t="s">
        <v>155</v>
      </c>
      <c r="U46" s="238"/>
      <c r="V46" s="5464"/>
      <c r="W46" s="5464"/>
      <c r="X46" s="5464"/>
      <c r="Y46" s="5464"/>
      <c r="Z46" s="5464"/>
      <c r="AA46" s="5464"/>
      <c r="AB46" s="5464"/>
      <c r="AC46" s="5465"/>
      <c r="AD46" s="5463" t="str">
        <f>INDEX(PT_DIFFERENTIATION_NTAR,MATCH(A46,PT_DIFFERENTIATION_NTAR_ID,0))</f>
        <v/>
      </c>
      <c r="AE46" s="5464"/>
      <c r="AF46" s="5464"/>
      <c r="AG46" s="5464"/>
      <c r="AH46" s="5464"/>
      <c r="AI46" s="5464"/>
      <c r="AJ46" s="5464"/>
      <c r="AK46" s="5464"/>
      <c r="AL46" s="5464"/>
      <c r="AM46" s="5464"/>
      <c r="AN46" s="5464"/>
      <c r="AO46" s="5464"/>
      <c r="AP46" s="5464"/>
      <c r="AQ46" s="5464"/>
      <c r="AR46" s="5464"/>
      <c r="AS46" s="5464"/>
      <c r="AT46" s="5464"/>
      <c r="AU46" s="5464"/>
      <c r="AV46" s="5464"/>
      <c r="AW46" s="5464"/>
      <c r="AX46" s="5464"/>
      <c r="AY46" s="5464"/>
      <c r="AZ46" s="5464"/>
      <c r="BA46" s="5464"/>
      <c r="BB46" s="5465"/>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76">
        <v>21</v>
      </c>
    </row>
    <row r="47" spans="1:61" ht="21.95" customHeight="1">
      <c r="A47" s="1284" t="s">
        <v>275</v>
      </c>
      <c r="B47" s="1284" t="s">
        <v>276</v>
      </c>
      <c r="C47" s="1284"/>
      <c r="D47" s="1284"/>
      <c r="E47" s="5470"/>
      <c r="F47" s="5469">
        <v>1</v>
      </c>
      <c r="G47" s="1284"/>
      <c r="H47" s="1284"/>
      <c r="I47" s="1284"/>
      <c r="J47" s="1284"/>
      <c r="K47" s="1284"/>
      <c r="L47" s="1285"/>
      <c r="M47" s="1286"/>
      <c r="N47" s="1286"/>
      <c r="O47" s="1286"/>
      <c r="P47" s="1331"/>
      <c r="Q47" s="1332"/>
      <c r="R47" s="291"/>
      <c r="S47" s="1378" t="str">
        <f>INDEX(PT_DIFFERENTIATION_NUM_TER,MATCH(B47,PT_DIFFERENTIATION_TER_ID,0))</f>
        <v>.</v>
      </c>
      <c r="T47" s="246" t="s">
        <v>490</v>
      </c>
      <c r="U47" s="238"/>
      <c r="V47" s="5464"/>
      <c r="W47" s="5464"/>
      <c r="X47" s="5464"/>
      <c r="Y47" s="5464"/>
      <c r="Z47" s="5464"/>
      <c r="AA47" s="5464"/>
      <c r="AB47" s="5464"/>
      <c r="AC47" s="5465"/>
      <c r="AD47" s="5463" t="str">
        <f>INDEX(PT_DIFFERENTIATION_TER,MATCH(B47,PT_DIFFERENTIATION_TER_ID,0))</f>
        <v/>
      </c>
      <c r="AE47" s="5464"/>
      <c r="AF47" s="5464"/>
      <c r="AG47" s="5464"/>
      <c r="AH47" s="5464"/>
      <c r="AI47" s="5464"/>
      <c r="AJ47" s="5464"/>
      <c r="AK47" s="5464"/>
      <c r="AL47" s="5464"/>
      <c r="AM47" s="5464"/>
      <c r="AN47" s="5464"/>
      <c r="AO47" s="5464"/>
      <c r="AP47" s="5464"/>
      <c r="AQ47" s="5464"/>
      <c r="AR47" s="5464"/>
      <c r="AS47" s="5464"/>
      <c r="AT47" s="5464"/>
      <c r="AU47" s="5464"/>
      <c r="AV47" s="5464"/>
      <c r="AW47" s="5464"/>
      <c r="AX47" s="5464"/>
      <c r="AY47" s="5464"/>
      <c r="AZ47" s="5464"/>
      <c r="BA47" s="5464"/>
      <c r="BB47" s="5465"/>
      <c r="BC47" s="1179" t="s">
        <v>491</v>
      </c>
      <c r="BE47" s="438"/>
      <c r="BF47" s="438" t="str">
        <f t="shared" si="3"/>
        <v>Территория действия тарифа</v>
      </c>
      <c r="BG47" s="438"/>
      <c r="BH47" s="438"/>
      <c r="BI47" s="1076">
        <v>21</v>
      </c>
    </row>
    <row r="48" spans="1:61" ht="43.15" customHeight="1">
      <c r="A48" s="1284" t="s">
        <v>275</v>
      </c>
      <c r="B48" s="1284" t="s">
        <v>276</v>
      </c>
      <c r="C48" s="1284" t="s">
        <v>277</v>
      </c>
      <c r="D48" s="1284"/>
      <c r="E48" s="5470"/>
      <c r="F48" s="5470"/>
      <c r="G48" s="5469">
        <v>1</v>
      </c>
      <c r="H48" s="1284"/>
      <c r="I48" s="1284"/>
      <c r="J48" s="1284"/>
      <c r="K48" s="1284"/>
      <c r="L48" s="1285"/>
      <c r="M48" s="1286"/>
      <c r="N48" s="1286"/>
      <c r="O48" s="1286"/>
      <c r="P48" s="1333"/>
      <c r="Q48" s="1332"/>
      <c r="R48" s="291"/>
      <c r="S48" s="1378" t="str">
        <f>INDEX(PT_DIFFERENTIATION_NUM_CS,MATCH(C48,PT_DIFFERENTIATION_CS_ID,0))</f>
        <v>..</v>
      </c>
      <c r="T48" s="247" t="s">
        <v>571</v>
      </c>
      <c r="U48" s="238"/>
      <c r="V48" s="5464"/>
      <c r="W48" s="5464"/>
      <c r="X48" s="5464"/>
      <c r="Y48" s="5464"/>
      <c r="Z48" s="5464"/>
      <c r="AA48" s="5464"/>
      <c r="AB48" s="5464"/>
      <c r="AC48" s="5465"/>
      <c r="AD48" s="5463" t="str">
        <f>INDEX(PT_DIFFERENTIATION_CS,MATCH(C48,PT_DIFFERENTIATION_CS_ID,0))</f>
        <v/>
      </c>
      <c r="AE48" s="5464"/>
      <c r="AF48" s="5464"/>
      <c r="AG48" s="5464"/>
      <c r="AH48" s="5464"/>
      <c r="AI48" s="5464"/>
      <c r="AJ48" s="5464"/>
      <c r="AK48" s="5464"/>
      <c r="AL48" s="5464"/>
      <c r="AM48" s="5464"/>
      <c r="AN48" s="5464"/>
      <c r="AO48" s="5464"/>
      <c r="AP48" s="5464"/>
      <c r="AQ48" s="5464"/>
      <c r="AR48" s="5464"/>
      <c r="AS48" s="5464"/>
      <c r="AT48" s="5464"/>
      <c r="AU48" s="5464"/>
      <c r="AV48" s="5464"/>
      <c r="AW48" s="5464"/>
      <c r="AX48" s="5464"/>
      <c r="AY48" s="5464"/>
      <c r="AZ48" s="5464"/>
      <c r="BA48" s="5464"/>
      <c r="BB48" s="5465"/>
      <c r="BC48" s="1179" t="s">
        <v>572</v>
      </c>
      <c r="BE48" s="438"/>
      <c r="BF48" s="438" t="str">
        <f t="shared" si="3"/>
        <v>Наименование централизованной системы холодного водоснабжения</v>
      </c>
      <c r="BG48" s="438"/>
      <c r="BH48" s="438"/>
      <c r="BI48" s="1076">
        <v>41</v>
      </c>
    </row>
    <row r="49" spans="1:61" s="4275" customFormat="1" ht="0" hidden="1" customHeight="1">
      <c r="A49" s="1264" t="s">
        <v>275</v>
      </c>
      <c r="B49" s="1264" t="s">
        <v>276</v>
      </c>
      <c r="C49" s="1264" t="s">
        <v>277</v>
      </c>
      <c r="D49" s="1264" t="s">
        <v>605</v>
      </c>
      <c r="E49" s="5470"/>
      <c r="F49" s="5470"/>
      <c r="G49" s="5470"/>
      <c r="H49" s="5469">
        <v>1</v>
      </c>
      <c r="I49" s="1264"/>
      <c r="J49" s="1264"/>
      <c r="K49" s="1264"/>
      <c r="L49" s="1267"/>
      <c r="M49" s="1236"/>
      <c r="N49" s="1236"/>
      <c r="O49" s="1236"/>
      <c r="P49" s="1418"/>
      <c r="Q49" s="1419"/>
      <c r="R49" s="295"/>
      <c r="S49" s="967"/>
      <c r="T49" s="1420"/>
      <c r="U49" s="1305"/>
      <c r="V49" s="5501"/>
      <c r="W49" s="5501"/>
      <c r="X49" s="5501"/>
      <c r="Y49" s="5501"/>
      <c r="Z49" s="5501"/>
      <c r="AA49" s="5501"/>
      <c r="AB49" s="5501"/>
      <c r="AC49" s="5502"/>
      <c r="AD49" s="5500"/>
      <c r="AE49" s="5501"/>
      <c r="AF49" s="5501"/>
      <c r="AG49" s="5501"/>
      <c r="AH49" s="5501"/>
      <c r="AI49" s="5501"/>
      <c r="AJ49" s="5501"/>
      <c r="AK49" s="5501"/>
      <c r="AL49" s="5501"/>
      <c r="AM49" s="5501"/>
      <c r="AN49" s="5501"/>
      <c r="AO49" s="5501"/>
      <c r="AP49" s="5501"/>
      <c r="AQ49" s="5501"/>
      <c r="AR49" s="5501"/>
      <c r="AS49" s="5501"/>
      <c r="AT49" s="5501"/>
      <c r="AU49" s="5501"/>
      <c r="AV49" s="5501"/>
      <c r="AW49" s="5501"/>
      <c r="AX49" s="5501"/>
      <c r="AY49" s="5501"/>
      <c r="AZ49" s="5501"/>
      <c r="BA49" s="5501"/>
      <c r="BB49" s="5502"/>
      <c r="BC49" s="1306" t="s">
        <v>495</v>
      </c>
      <c r="BE49" s="438"/>
      <c r="BF49" s="438" t="str">
        <f t="shared" si="3"/>
        <v/>
      </c>
      <c r="BG49" s="438"/>
      <c r="BH49" s="438"/>
      <c r="BI49" s="449">
        <v>0</v>
      </c>
    </row>
    <row r="50" spans="1:61" s="4275" customFormat="1" ht="0" hidden="1" customHeight="1">
      <c r="A50" s="1264" t="s">
        <v>275</v>
      </c>
      <c r="B50" s="1264" t="s">
        <v>276</v>
      </c>
      <c r="C50" s="1264" t="s">
        <v>277</v>
      </c>
      <c r="D50" s="1264" t="s">
        <v>605</v>
      </c>
      <c r="E50" s="5470"/>
      <c r="F50" s="5470"/>
      <c r="G50" s="5470"/>
      <c r="H50" s="5470"/>
      <c r="I50" s="5471" t="str">
        <f>S49&amp;".1"</f>
        <v>.1</v>
      </c>
      <c r="J50" s="1264"/>
      <c r="K50" s="1264"/>
      <c r="L50" s="1267" t="s">
        <v>496</v>
      </c>
      <c r="M50" s="448"/>
      <c r="N50" s="448"/>
      <c r="O50" s="448"/>
      <c r="P50" s="5473">
        <v>1</v>
      </c>
      <c r="Q50" s="1383"/>
      <c r="R50" s="294"/>
      <c r="S50" s="967"/>
      <c r="T50" s="1304"/>
      <c r="U50" s="1305"/>
      <c r="V50" s="5501"/>
      <c r="W50" s="5501"/>
      <c r="X50" s="5501"/>
      <c r="Y50" s="5501"/>
      <c r="Z50" s="5501"/>
      <c r="AA50" s="5501"/>
      <c r="AB50" s="5501"/>
      <c r="AC50" s="5502"/>
      <c r="AD50" s="5500"/>
      <c r="AE50" s="5501"/>
      <c r="AF50" s="5501"/>
      <c r="AG50" s="5501"/>
      <c r="AH50" s="5501"/>
      <c r="AI50" s="5501"/>
      <c r="AJ50" s="5501"/>
      <c r="AK50" s="5501"/>
      <c r="AL50" s="5501"/>
      <c r="AM50" s="5501"/>
      <c r="AN50" s="5501"/>
      <c r="AO50" s="5501"/>
      <c r="AP50" s="5501"/>
      <c r="AQ50" s="5501"/>
      <c r="AR50" s="5501"/>
      <c r="AS50" s="5501"/>
      <c r="AT50" s="5501"/>
      <c r="AU50" s="5501"/>
      <c r="AV50" s="5501"/>
      <c r="AW50" s="5501"/>
      <c r="AX50" s="5501"/>
      <c r="AY50" s="5501"/>
      <c r="AZ50" s="5501"/>
      <c r="BA50" s="5501"/>
      <c r="BB50" s="5502"/>
      <c r="BC50" s="1306"/>
      <c r="BE50" s="438"/>
      <c r="BF50" s="438" t="str">
        <f t="shared" si="3"/>
        <v/>
      </c>
      <c r="BG50" s="438"/>
      <c r="BH50" s="438"/>
      <c r="BI50" s="449">
        <v>0</v>
      </c>
    </row>
    <row r="51" spans="1:61" s="4275" customFormat="1" ht="0" hidden="1" customHeight="1">
      <c r="A51" s="1264" t="s">
        <v>275</v>
      </c>
      <c r="B51" s="1264" t="s">
        <v>276</v>
      </c>
      <c r="C51" s="1264" t="s">
        <v>277</v>
      </c>
      <c r="D51" s="1264" t="s">
        <v>605</v>
      </c>
      <c r="E51" s="5470"/>
      <c r="F51" s="5470"/>
      <c r="G51" s="5470"/>
      <c r="H51" s="5470"/>
      <c r="I51" s="5472"/>
      <c r="J51" s="5471" t="str">
        <f>S49&amp;".1"</f>
        <v>.1</v>
      </c>
      <c r="K51" s="1264"/>
      <c r="L51" s="1267"/>
      <c r="M51" s="448"/>
      <c r="N51" s="448"/>
      <c r="O51" s="448"/>
      <c r="P51" s="5473"/>
      <c r="Q51" s="5473">
        <v>1</v>
      </c>
      <c r="R51" s="295"/>
      <c r="S51" s="967"/>
      <c r="T51" s="1320"/>
      <c r="U51" s="1305"/>
      <c r="V51" s="5501"/>
      <c r="W51" s="5501"/>
      <c r="X51" s="5501"/>
      <c r="Y51" s="5501"/>
      <c r="Z51" s="5501"/>
      <c r="AA51" s="5501"/>
      <c r="AB51" s="5501"/>
      <c r="AC51" s="5502"/>
      <c r="AD51" s="5500"/>
      <c r="AE51" s="5501"/>
      <c r="AF51" s="5501"/>
      <c r="AG51" s="5501"/>
      <c r="AH51" s="5501"/>
      <c r="AI51" s="5501"/>
      <c r="AJ51" s="5501"/>
      <c r="AK51" s="5501"/>
      <c r="AL51" s="5501"/>
      <c r="AM51" s="5501"/>
      <c r="AN51" s="5552"/>
      <c r="AO51" s="5552"/>
      <c r="AP51" s="5501"/>
      <c r="AQ51" s="5501"/>
      <c r="AR51" s="5501"/>
      <c r="AS51" s="5501"/>
      <c r="AT51" s="5501"/>
      <c r="AU51" s="5501"/>
      <c r="AV51" s="5501"/>
      <c r="AW51" s="5501"/>
      <c r="AX51" s="5501"/>
      <c r="AY51" s="5501"/>
      <c r="AZ51" s="5501"/>
      <c r="BA51" s="5501"/>
      <c r="BB51" s="5502"/>
      <c r="BC51" s="1306"/>
      <c r="BE51" s="438"/>
      <c r="BF51" s="438" t="str">
        <f t="shared" si="3"/>
        <v/>
      </c>
      <c r="BG51" s="438"/>
      <c r="BH51" s="438"/>
      <c r="BI51" s="449">
        <v>0</v>
      </c>
    </row>
    <row r="52" spans="1:61" ht="11.45" customHeight="1">
      <c r="A52" s="1284" t="s">
        <v>275</v>
      </c>
      <c r="B52" s="1284" t="s">
        <v>276</v>
      </c>
      <c r="C52" s="1284" t="s">
        <v>277</v>
      </c>
      <c r="D52" s="1284" t="s">
        <v>605</v>
      </c>
      <c r="E52" s="5470"/>
      <c r="F52" s="5470"/>
      <c r="G52" s="5470"/>
      <c r="H52" s="5470"/>
      <c r="I52" s="5472"/>
      <c r="J52" s="5472"/>
      <c r="K52" s="5471" t="str">
        <f>S48&amp;".1"</f>
        <v>...1</v>
      </c>
      <c r="L52" s="1285"/>
      <c r="P52" s="5473"/>
      <c r="Q52" s="5473"/>
      <c r="R52" s="295">
        <v>1</v>
      </c>
      <c r="S52" s="5526" t="str">
        <f>$K52</f>
        <v>...1</v>
      </c>
      <c r="T52" s="5546"/>
      <c r="U52" s="238"/>
      <c r="V52" s="689"/>
      <c r="W52" s="1178"/>
      <c r="X52" s="689"/>
      <c r="Y52" s="1178"/>
      <c r="Z52" s="1654"/>
      <c r="AA52" s="1380" t="s">
        <v>66</v>
      </c>
      <c r="AB52" s="1654"/>
      <c r="AC52" s="1380" t="s">
        <v>66</v>
      </c>
      <c r="AD52" s="5399" t="s">
        <v>66</v>
      </c>
      <c r="AE52" s="5522"/>
      <c r="AF52" s="5427">
        <v>1</v>
      </c>
      <c r="AG52" s="5545"/>
      <c r="AH52" s="5338" t="s">
        <v>66</v>
      </c>
      <c r="AI52" s="5522"/>
      <c r="AJ52" s="5427">
        <v>1</v>
      </c>
      <c r="AK52" s="5536" t="s">
        <v>28</v>
      </c>
      <c r="AL52" s="5338" t="s">
        <v>66</v>
      </c>
      <c r="AM52" s="5404"/>
      <c r="AN52" s="5427">
        <v>1</v>
      </c>
      <c r="AO52" s="5549"/>
      <c r="AP52" s="5550" t="s">
        <v>66</v>
      </c>
      <c r="AQ52" s="249"/>
      <c r="AR52" s="1384">
        <v>1</v>
      </c>
      <c r="AS52" s="1387" t="s">
        <v>28</v>
      </c>
      <c r="AT52" s="689"/>
      <c r="AU52" s="1178"/>
      <c r="AV52" s="689"/>
      <c r="AW52" s="1178"/>
      <c r="AX52" s="1654"/>
      <c r="AY52" s="1380" t="s">
        <v>66</v>
      </c>
      <c r="AZ52" s="1654"/>
      <c r="BA52" s="1380" t="s">
        <v>66</v>
      </c>
      <c r="BB52" s="1269"/>
      <c r="BC52" s="5492" t="s">
        <v>591</v>
      </c>
      <c r="BE52" s="438"/>
      <c r="BF52" s="438" t="str">
        <f t="shared" si="3"/>
        <v/>
      </c>
      <c r="BG52" s="438"/>
      <c r="BH52" s="438"/>
      <c r="BI52" s="1076">
        <v>11</v>
      </c>
    </row>
    <row r="53" spans="1:61" ht="11.45" customHeight="1">
      <c r="A53" s="1284"/>
      <c r="B53" s="1284"/>
      <c r="C53" s="1284"/>
      <c r="D53" s="1284"/>
      <c r="E53" s="5470"/>
      <c r="F53" s="5470"/>
      <c r="G53" s="5470"/>
      <c r="H53" s="5470"/>
      <c r="I53" s="5472"/>
      <c r="J53" s="5472"/>
      <c r="K53" s="5471"/>
      <c r="L53" s="1285"/>
      <c r="P53" s="5473"/>
      <c r="Q53" s="5473"/>
      <c r="R53" s="295"/>
      <c r="S53" s="5527"/>
      <c r="T53" s="5547"/>
      <c r="U53" s="238"/>
      <c r="V53" s="1314"/>
      <c r="W53" s="1417"/>
      <c r="X53" s="1314"/>
      <c r="Y53" s="1417"/>
      <c r="Z53" s="1314"/>
      <c r="AA53" s="1314"/>
      <c r="AB53" s="1314"/>
      <c r="AC53" s="1314"/>
      <c r="AD53" s="5400"/>
      <c r="AE53" s="5522"/>
      <c r="AF53" s="5427"/>
      <c r="AG53" s="5545"/>
      <c r="AH53" s="5338"/>
      <c r="AI53" s="5522"/>
      <c r="AJ53" s="5427"/>
      <c r="AK53" s="5536"/>
      <c r="AL53" s="5338"/>
      <c r="AM53" s="5409"/>
      <c r="AN53" s="5427"/>
      <c r="AO53" s="5549"/>
      <c r="AP53" s="5551"/>
      <c r="AQ53" s="254"/>
      <c r="AR53" s="354"/>
      <c r="AS53" s="354" t="s">
        <v>592</v>
      </c>
      <c r="AT53" s="1314"/>
      <c r="AU53" s="1417"/>
      <c r="AV53" s="1314"/>
      <c r="AW53" s="1417"/>
      <c r="AX53" s="1314"/>
      <c r="AY53" s="1314"/>
      <c r="AZ53" s="1314"/>
      <c r="BA53" s="1314"/>
      <c r="BB53" s="1318"/>
      <c r="BC53" s="5493"/>
      <c r="BE53" s="438"/>
      <c r="BF53" s="438"/>
      <c r="BG53" s="438"/>
      <c r="BH53" s="438"/>
      <c r="BI53" s="1076">
        <v>11</v>
      </c>
    </row>
    <row r="54" spans="1:61" ht="11.45" customHeight="1">
      <c r="A54" s="1284" t="s">
        <v>275</v>
      </c>
      <c r="B54" s="1284"/>
      <c r="C54" s="1284"/>
      <c r="D54" s="1284"/>
      <c r="E54" s="5470"/>
      <c r="F54" s="5470"/>
      <c r="G54" s="5470"/>
      <c r="H54" s="5470"/>
      <c r="I54" s="5472"/>
      <c r="J54" s="5472"/>
      <c r="K54" s="5471"/>
      <c r="L54" s="1285"/>
      <c r="P54" s="5473"/>
      <c r="Q54" s="5473"/>
      <c r="R54" s="295"/>
      <c r="S54" s="5527"/>
      <c r="T54" s="5547"/>
      <c r="U54" s="238"/>
      <c r="V54" s="1314"/>
      <c r="W54" s="1417"/>
      <c r="X54" s="1314"/>
      <c r="Y54" s="1417"/>
      <c r="Z54" s="1314"/>
      <c r="AA54" s="1314"/>
      <c r="AB54" s="1314"/>
      <c r="AC54" s="1314"/>
      <c r="AD54" s="5400"/>
      <c r="AE54" s="5522"/>
      <c r="AF54" s="5427"/>
      <c r="AG54" s="5545"/>
      <c r="AH54" s="5338"/>
      <c r="AI54" s="5522"/>
      <c r="AJ54" s="5427"/>
      <c r="AK54" s="5536"/>
      <c r="AL54" s="5338"/>
      <c r="AM54" s="254"/>
      <c r="AN54" s="1421"/>
      <c r="AO54" s="1421" t="s">
        <v>593</v>
      </c>
      <c r="AP54" s="354"/>
      <c r="AQ54" s="354"/>
      <c r="AR54" s="354"/>
      <c r="AS54" s="1314"/>
      <c r="AT54" s="1314"/>
      <c r="AU54" s="1417"/>
      <c r="AV54" s="1314"/>
      <c r="AW54" s="1417"/>
      <c r="AX54" s="1314"/>
      <c r="AY54" s="1314"/>
      <c r="AZ54" s="1314"/>
      <c r="BA54" s="1314"/>
      <c r="BB54" s="1318"/>
      <c r="BC54" s="5493"/>
      <c r="BE54" s="438"/>
      <c r="BF54" s="438"/>
      <c r="BG54" s="438"/>
      <c r="BH54" s="438"/>
      <c r="BI54" s="1076">
        <v>11</v>
      </c>
    </row>
    <row r="55" spans="1:61" ht="11.45" customHeight="1">
      <c r="A55" s="1284" t="s">
        <v>275</v>
      </c>
      <c r="B55" s="1284"/>
      <c r="C55" s="1284"/>
      <c r="D55" s="1284"/>
      <c r="E55" s="5470"/>
      <c r="F55" s="5470"/>
      <c r="G55" s="5470"/>
      <c r="H55" s="5470"/>
      <c r="I55" s="5472"/>
      <c r="J55" s="5472"/>
      <c r="K55" s="5471"/>
      <c r="L55" s="1285"/>
      <c r="P55" s="5473"/>
      <c r="Q55" s="5473"/>
      <c r="R55" s="295"/>
      <c r="S55" s="5527"/>
      <c r="T55" s="5547"/>
      <c r="U55" s="238"/>
      <c r="V55" s="1314"/>
      <c r="W55" s="1417"/>
      <c r="X55" s="1314"/>
      <c r="Y55" s="1417"/>
      <c r="Z55" s="1314"/>
      <c r="AA55" s="1314"/>
      <c r="AB55" s="1314"/>
      <c r="AC55" s="1314"/>
      <c r="AD55" s="5400"/>
      <c r="AE55" s="5522"/>
      <c r="AF55" s="5427"/>
      <c r="AG55" s="5545"/>
      <c r="AH55" s="5338"/>
      <c r="AI55" s="232"/>
      <c r="AJ55" s="353"/>
      <c r="AK55" s="251" t="s">
        <v>594</v>
      </c>
      <c r="AL55" s="1314"/>
      <c r="AM55" s="1314"/>
      <c r="AN55" s="1314"/>
      <c r="AO55" s="1314"/>
      <c r="AP55" s="1314"/>
      <c r="AQ55" s="1314"/>
      <c r="AR55" s="1314"/>
      <c r="AS55" s="1314"/>
      <c r="AT55" s="1314"/>
      <c r="AU55" s="1417"/>
      <c r="AV55" s="1314"/>
      <c r="AW55" s="1417"/>
      <c r="AX55" s="1314"/>
      <c r="AY55" s="1314"/>
      <c r="AZ55" s="1314"/>
      <c r="BA55" s="1314"/>
      <c r="BB55" s="1318"/>
      <c r="BC55" s="5493"/>
      <c r="BE55" s="438"/>
      <c r="BF55" s="438"/>
      <c r="BG55" s="438"/>
      <c r="BH55" s="438"/>
      <c r="BI55" s="1076">
        <v>11</v>
      </c>
    </row>
    <row r="56" spans="1:61" ht="11.45" customHeight="1">
      <c r="A56" s="1284" t="s">
        <v>275</v>
      </c>
      <c r="B56" s="1284" t="s">
        <v>276</v>
      </c>
      <c r="C56" s="1284" t="s">
        <v>277</v>
      </c>
      <c r="D56" s="1284" t="s">
        <v>605</v>
      </c>
      <c r="E56" s="5470"/>
      <c r="F56" s="5470"/>
      <c r="G56" s="5470"/>
      <c r="H56" s="5470"/>
      <c r="I56" s="5472"/>
      <c r="J56" s="5472"/>
      <c r="K56" s="5471"/>
      <c r="L56" s="1285"/>
      <c r="P56" s="5473"/>
      <c r="Q56" s="5473"/>
      <c r="R56" s="295"/>
      <c r="S56" s="5528"/>
      <c r="T56" s="5548"/>
      <c r="U56" s="238"/>
      <c r="V56" s="1314"/>
      <c r="W56" s="1315" t="str">
        <f>Z52&amp;"-"&amp;AB52</f>
        <v>-</v>
      </c>
      <c r="X56" s="1314"/>
      <c r="Y56" s="1315" t="str">
        <f>AB52&amp;"-"&amp;AD52</f>
        <v>-да</v>
      </c>
      <c r="Z56" s="1314"/>
      <c r="AA56" s="1314"/>
      <c r="AB56" s="1314"/>
      <c r="AC56" s="1314"/>
      <c r="AD56" s="5343"/>
      <c r="AE56" s="250"/>
      <c r="AF56" s="252"/>
      <c r="AG56" s="354" t="s">
        <v>595</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5493"/>
      <c r="BE56" s="438"/>
      <c r="BF56" s="438" t="str">
        <f t="shared" ref="BF56:BF63" si="4">IF(T56="","",T56)</f>
        <v/>
      </c>
      <c r="BG56" s="438"/>
      <c r="BH56" s="438"/>
      <c r="BI56" s="1076">
        <v>11</v>
      </c>
    </row>
    <row r="57" spans="1:61" ht="11.45" customHeight="1">
      <c r="A57" s="1284" t="s">
        <v>275</v>
      </c>
      <c r="B57" s="1284" t="s">
        <v>276</v>
      </c>
      <c r="C57" s="1284" t="s">
        <v>277</v>
      </c>
      <c r="D57" s="1284" t="s">
        <v>605</v>
      </c>
      <c r="E57" s="5470"/>
      <c r="F57" s="5470"/>
      <c r="G57" s="5470"/>
      <c r="H57" s="5470"/>
      <c r="I57" s="5472"/>
      <c r="J57" s="5471"/>
      <c r="K57" s="1284"/>
      <c r="L57" s="1285"/>
      <c r="P57" s="5473"/>
      <c r="Q57" s="5473"/>
      <c r="R57" s="294"/>
      <c r="S57" s="1199"/>
      <c r="T57" s="225" t="s">
        <v>558</v>
      </c>
      <c r="U57" s="305"/>
      <c r="V57" s="305"/>
      <c r="W57" s="305"/>
      <c r="X57" s="305"/>
      <c r="Y57" s="305"/>
      <c r="Z57" s="305"/>
      <c r="AA57" s="305"/>
      <c r="AB57" s="305"/>
      <c r="AC57" s="262"/>
      <c r="AD57" s="1426"/>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5494"/>
      <c r="BE57" s="438"/>
      <c r="BF57" s="438" t="str">
        <f t="shared" si="4"/>
        <v>Добавить строку</v>
      </c>
      <c r="BG57" s="438"/>
      <c r="BH57" s="438"/>
      <c r="BI57" s="1076">
        <v>11</v>
      </c>
    </row>
    <row r="58" spans="1:61" s="4275" customFormat="1" ht="0" hidden="1" customHeight="1">
      <c r="A58" s="1264" t="s">
        <v>275</v>
      </c>
      <c r="B58" s="1264" t="s">
        <v>276</v>
      </c>
      <c r="C58" s="1264" t="s">
        <v>277</v>
      </c>
      <c r="D58" s="1264" t="s">
        <v>605</v>
      </c>
      <c r="E58" s="5470"/>
      <c r="F58" s="5470"/>
      <c r="G58" s="5470"/>
      <c r="H58" s="5470"/>
      <c r="I58" s="5471"/>
      <c r="J58" s="1264"/>
      <c r="K58" s="1264"/>
      <c r="L58" s="1267"/>
      <c r="M58" s="448"/>
      <c r="N58" s="448"/>
      <c r="O58" s="448"/>
      <c r="P58" s="5473"/>
      <c r="Q58" s="1383"/>
      <c r="R58" s="294"/>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38"/>
      <c r="BF58" s="438" t="str">
        <f t="shared" si="4"/>
        <v/>
      </c>
      <c r="BG58" s="438"/>
      <c r="BH58" s="438"/>
      <c r="BI58" s="449">
        <v>0</v>
      </c>
    </row>
    <row r="59" spans="1:61" s="4275" customFormat="1" ht="0" hidden="1" customHeight="1">
      <c r="A59" s="1264" t="s">
        <v>275</v>
      </c>
      <c r="B59" s="1264" t="s">
        <v>276</v>
      </c>
      <c r="C59" s="1264" t="s">
        <v>277</v>
      </c>
      <c r="D59" s="1264" t="s">
        <v>605</v>
      </c>
      <c r="E59" s="5470"/>
      <c r="F59" s="5470"/>
      <c r="G59" s="5470"/>
      <c r="H59" s="5469"/>
      <c r="I59" s="1264"/>
      <c r="J59" s="1264"/>
      <c r="K59" s="1264"/>
      <c r="L59" s="1267"/>
      <c r="M59" s="1236"/>
      <c r="N59" s="1236"/>
      <c r="O59" s="456"/>
      <c r="P59" s="318"/>
      <c r="Q59" s="1265"/>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38"/>
      <c r="BF59" s="438" t="str">
        <f t="shared" si="4"/>
        <v/>
      </c>
      <c r="BG59" s="438"/>
      <c r="BH59" s="438"/>
      <c r="BI59" s="449">
        <v>0</v>
      </c>
    </row>
    <row r="60" spans="1:61" s="4275" customFormat="1" ht="0" hidden="1" customHeight="1">
      <c r="A60" s="1264" t="s">
        <v>275</v>
      </c>
      <c r="B60" s="1264" t="s">
        <v>276</v>
      </c>
      <c r="C60" s="1264" t="s">
        <v>277</v>
      </c>
      <c r="D60" s="1235"/>
      <c r="E60" s="5470"/>
      <c r="F60" s="5470"/>
      <c r="G60" s="5469"/>
      <c r="H60" s="1235"/>
      <c r="I60" s="1235"/>
      <c r="J60" s="1235"/>
      <c r="K60" s="1235"/>
      <c r="L60" s="1385"/>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21"/>
      <c r="BF60" s="721" t="str">
        <f t="shared" si="4"/>
        <v/>
      </c>
      <c r="BG60" s="721"/>
      <c r="BH60" s="721"/>
      <c r="BI60" s="456">
        <v>0</v>
      </c>
    </row>
    <row r="61" spans="1:61" s="4275" customFormat="1" ht="0" hidden="1" customHeight="1">
      <c r="A61" s="1264" t="s">
        <v>275</v>
      </c>
      <c r="B61" s="1264" t="s">
        <v>276</v>
      </c>
      <c r="C61" s="1235"/>
      <c r="D61" s="1235"/>
      <c r="E61" s="5470"/>
      <c r="F61" s="5469"/>
      <c r="G61" s="1235"/>
      <c r="H61" s="1235"/>
      <c r="I61" s="1235"/>
      <c r="J61" s="1235"/>
      <c r="K61" s="1235"/>
      <c r="L61" s="1385"/>
      <c r="M61" s="1242"/>
      <c r="N61" s="1242"/>
      <c r="P61" s="1237"/>
      <c r="Q61" s="1238"/>
      <c r="R61" s="1237"/>
      <c r="S61" s="1243"/>
      <c r="T61" s="1246" t="s">
        <v>312</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21"/>
      <c r="BF61" s="721" t="str">
        <f t="shared" si="4"/>
        <v>Добавить централизованную систему для дифференциации</v>
      </c>
      <c r="BG61" s="721"/>
      <c r="BH61" s="721"/>
      <c r="BI61" s="456">
        <v>0</v>
      </c>
    </row>
    <row r="62" spans="1:61" s="4275" customFormat="1" ht="0" hidden="1" customHeight="1">
      <c r="A62" s="1264" t="s">
        <v>275</v>
      </c>
      <c r="B62" s="1264"/>
      <c r="C62" s="1264"/>
      <c r="D62" s="1264"/>
      <c r="E62" s="5469"/>
      <c r="F62" s="1264"/>
      <c r="G62" s="1264"/>
      <c r="H62" s="1264"/>
      <c r="I62" s="1264"/>
      <c r="J62" s="1264"/>
      <c r="K62" s="1264"/>
      <c r="L62" s="1267"/>
      <c r="M62" s="1242"/>
      <c r="N62" s="1242"/>
      <c r="O62" s="456"/>
      <c r="P62" s="318"/>
      <c r="Q62" s="1265"/>
      <c r="R62" s="318"/>
      <c r="S62" s="1243"/>
      <c r="T62" s="1246" t="s">
        <v>360</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38"/>
      <c r="BF62" s="438" t="str">
        <f t="shared" si="4"/>
        <v>Добавить территорию для дифференциации</v>
      </c>
      <c r="BG62" s="438"/>
      <c r="BH62" s="438"/>
      <c r="BI62" s="449">
        <v>0</v>
      </c>
    </row>
    <row r="63" spans="1:61" s="4275" customFormat="1" ht="0" hidden="1" customHeight="1">
      <c r="A63" s="1235"/>
      <c r="B63" s="1235"/>
      <c r="C63" s="1235"/>
      <c r="D63" s="1235"/>
      <c r="E63" s="1264"/>
      <c r="F63" s="1235"/>
      <c r="G63" s="1235"/>
      <c r="H63" s="1235"/>
      <c r="I63" s="1235"/>
      <c r="J63" s="1235"/>
      <c r="K63" s="1235"/>
      <c r="L63" s="1385"/>
      <c r="M63" s="1242"/>
      <c r="N63" s="1242"/>
      <c r="P63" s="1237"/>
      <c r="Q63" s="1238"/>
      <c r="R63" s="1237"/>
      <c r="S63" s="1243"/>
      <c r="T63" s="1246" t="s">
        <v>361</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21"/>
      <c r="BF63" s="721" t="str">
        <f t="shared" si="4"/>
        <v>Добавить наименование тарифа</v>
      </c>
      <c r="BG63" s="721"/>
      <c r="BH63" s="721"/>
      <c r="BI63" s="456">
        <v>0</v>
      </c>
    </row>
    <row r="64" spans="1:61" ht="11.45" customHeight="1">
      <c r="M64" s="1081"/>
      <c r="N64" s="1081"/>
      <c r="O64" s="475"/>
      <c r="P64" s="1081"/>
      <c r="Q64" s="1081"/>
      <c r="R64" s="1076"/>
      <c r="S64" s="1076"/>
      <c r="BD64" s="1076"/>
      <c r="BE64" s="1076"/>
      <c r="BF64" s="1076"/>
      <c r="BG64" s="1076"/>
      <c r="BH64" s="1076"/>
      <c r="BI64" s="1076">
        <v>11</v>
      </c>
    </row>
    <row r="65" spans="1:61" ht="19.899999999999999" customHeight="1">
      <c r="O65" s="475"/>
      <c r="S65" s="1174"/>
      <c r="T65" s="5468"/>
      <c r="U65" s="5468"/>
      <c r="V65" s="5468"/>
      <c r="W65" s="5468"/>
      <c r="X65" s="5468"/>
      <c r="Y65" s="5468"/>
      <c r="Z65" s="5468"/>
      <c r="AA65" s="5468"/>
      <c r="AB65" s="5468"/>
      <c r="AC65" s="5468"/>
      <c r="AD65" s="5468"/>
      <c r="AE65" s="5468"/>
      <c r="AF65" s="5468"/>
      <c r="AG65" s="5468"/>
      <c r="AH65" s="5468"/>
      <c r="AI65" s="5468"/>
      <c r="AJ65" s="5468"/>
      <c r="AK65" s="5468"/>
      <c r="AL65" s="5468"/>
      <c r="AM65" s="5468"/>
      <c r="AN65" s="5468"/>
      <c r="AO65" s="5468"/>
      <c r="AP65" s="5468"/>
      <c r="AQ65" s="5468"/>
      <c r="AR65" s="5468"/>
      <c r="AS65" s="5468"/>
      <c r="AT65" s="5468"/>
      <c r="AU65" s="5468"/>
      <c r="AV65" s="5468"/>
      <c r="AW65" s="5468"/>
      <c r="AX65" s="5468"/>
      <c r="AY65" s="5468"/>
      <c r="AZ65" s="5468"/>
      <c r="BA65" s="5468"/>
      <c r="BB65" s="5468"/>
      <c r="BC65" s="5468"/>
      <c r="BI65" s="1076">
        <v>19</v>
      </c>
    </row>
    <row r="66" spans="1:61" ht="14.65" customHeight="1">
      <c r="O66" s="475"/>
      <c r="T66" s="1370"/>
      <c r="U66" s="1370"/>
      <c r="V66" s="1370"/>
      <c r="W66" s="1370"/>
      <c r="X66" s="1370"/>
      <c r="Y66" s="1370"/>
      <c r="Z66" s="1370"/>
      <c r="AA66" s="1370"/>
      <c r="AB66" s="1370"/>
      <c r="AC66" s="1370"/>
      <c r="AD66" s="1370"/>
      <c r="AE66" s="1370"/>
      <c r="AF66" s="1370"/>
      <c r="AG66" s="1370"/>
      <c r="AH66" s="1370"/>
      <c r="AI66" s="1370"/>
      <c r="AJ66" s="1370"/>
      <c r="AK66" s="1370"/>
      <c r="AL66" s="1370"/>
      <c r="AM66" s="1370"/>
      <c r="AN66" s="1370"/>
      <c r="AO66" s="1370"/>
      <c r="AP66" s="1370"/>
      <c r="AQ66" s="1370"/>
      <c r="AR66" s="1370"/>
      <c r="AS66" s="1370"/>
      <c r="AT66" s="1370"/>
      <c r="AU66" s="1370"/>
      <c r="AV66" s="1370"/>
      <c r="AW66" s="1370"/>
      <c r="AX66" s="1370"/>
      <c r="AY66" s="1370"/>
      <c r="AZ66" s="1370"/>
      <c r="BA66" s="1370"/>
      <c r="BB66" s="1370"/>
      <c r="BC66" s="1370"/>
      <c r="BI66" s="1076">
        <v>14</v>
      </c>
    </row>
    <row r="67" spans="1:61" ht="19.899999999999999" customHeight="1">
      <c r="O67" s="475"/>
      <c r="S67" s="1174"/>
      <c r="T67" s="5468"/>
      <c r="U67" s="5468"/>
      <c r="V67" s="5468"/>
      <c r="W67" s="5468"/>
      <c r="X67" s="5468"/>
      <c r="Y67" s="5468"/>
      <c r="Z67" s="5468"/>
      <c r="AA67" s="5468"/>
      <c r="AB67" s="5468"/>
      <c r="AC67" s="5468"/>
      <c r="AD67" s="5468"/>
      <c r="AE67" s="5468"/>
      <c r="AF67" s="5468"/>
      <c r="AG67" s="5468"/>
      <c r="AH67" s="5468"/>
      <c r="AI67" s="5468"/>
      <c r="AJ67" s="5468"/>
      <c r="AK67" s="5468"/>
      <c r="AL67" s="5468"/>
      <c r="AM67" s="5468"/>
      <c r="AN67" s="5468"/>
      <c r="AO67" s="5468"/>
      <c r="AP67" s="5468"/>
      <c r="AQ67" s="5468"/>
      <c r="AR67" s="5468"/>
      <c r="AS67" s="5468"/>
      <c r="AT67" s="5468"/>
      <c r="AU67" s="5468"/>
      <c r="AV67" s="5468"/>
      <c r="AW67" s="5468"/>
      <c r="AX67" s="5468"/>
      <c r="AY67" s="5468"/>
      <c r="AZ67" s="5468"/>
      <c r="BA67" s="5468"/>
      <c r="BB67" s="5468"/>
      <c r="BC67" s="5468"/>
      <c r="BI67" s="1076">
        <v>19</v>
      </c>
    </row>
    <row r="68" spans="1:61" ht="14.65" customHeight="1">
      <c r="O68" s="475"/>
      <c r="BI68" s="1076">
        <v>14</v>
      </c>
    </row>
    <row r="69" spans="1:61" ht="14.25" hidden="1" customHeight="1">
      <c r="A69" s="1081" t="s">
        <v>82</v>
      </c>
      <c r="B69" s="1081">
        <v>0</v>
      </c>
      <c r="C69" s="1081">
        <v>0</v>
      </c>
      <c r="D69" s="1081">
        <v>0</v>
      </c>
      <c r="E69" s="1081">
        <v>0</v>
      </c>
      <c r="F69" s="1081">
        <v>0</v>
      </c>
      <c r="G69" s="1081">
        <v>0</v>
      </c>
      <c r="H69" s="1081">
        <v>0</v>
      </c>
      <c r="I69" s="1081">
        <v>0</v>
      </c>
      <c r="J69" s="1081">
        <v>0</v>
      </c>
      <c r="K69" s="1081">
        <v>0</v>
      </c>
      <c r="L69" s="1382">
        <v>0</v>
      </c>
      <c r="M69" s="1283">
        <v>0</v>
      </c>
      <c r="N69" s="1283">
        <v>0</v>
      </c>
      <c r="O69" s="1283">
        <v>0</v>
      </c>
      <c r="P69" s="1283">
        <v>0</v>
      </c>
      <c r="Q69" s="1292">
        <v>0</v>
      </c>
      <c r="R69" s="282">
        <v>3</v>
      </c>
      <c r="S69" s="519">
        <v>12</v>
      </c>
      <c r="T69" s="1076">
        <v>31</v>
      </c>
      <c r="U69" s="1076">
        <v>0</v>
      </c>
      <c r="V69" s="1076">
        <v>0</v>
      </c>
      <c r="W69" s="1076">
        <v>0</v>
      </c>
      <c r="X69" s="1076">
        <v>0</v>
      </c>
      <c r="Y69" s="1076">
        <v>0</v>
      </c>
      <c r="Z69" s="1076">
        <v>0</v>
      </c>
      <c r="AA69" s="1076">
        <v>0</v>
      </c>
      <c r="AB69" s="1076">
        <v>0</v>
      </c>
      <c r="AC69" s="1076">
        <v>0</v>
      </c>
      <c r="AD69" s="1076">
        <v>3</v>
      </c>
      <c r="AE69" s="1076">
        <v>3</v>
      </c>
      <c r="AF69" s="1076">
        <v>3</v>
      </c>
      <c r="AG69" s="1076">
        <v>24</v>
      </c>
      <c r="AH69" s="1076">
        <v>3</v>
      </c>
      <c r="AI69" s="1076">
        <v>3</v>
      </c>
      <c r="AJ69" s="1076">
        <v>3</v>
      </c>
      <c r="AK69" s="1076">
        <v>24</v>
      </c>
      <c r="AL69" s="1076">
        <v>3</v>
      </c>
      <c r="AM69" s="1076">
        <v>3</v>
      </c>
      <c r="AN69" s="1076">
        <v>3</v>
      </c>
      <c r="AO69" s="1076">
        <v>18</v>
      </c>
      <c r="AP69" s="1076">
        <v>3</v>
      </c>
      <c r="AQ69" s="1076">
        <v>3</v>
      </c>
      <c r="AR69" s="1076">
        <v>3</v>
      </c>
      <c r="AS69" s="1076">
        <v>18</v>
      </c>
      <c r="AT69" s="1076">
        <v>21</v>
      </c>
      <c r="AU69" s="1076">
        <v>21</v>
      </c>
      <c r="AV69" s="1076">
        <v>21</v>
      </c>
      <c r="AW69" s="1076">
        <v>21</v>
      </c>
      <c r="AX69" s="1076">
        <v>11</v>
      </c>
      <c r="AY69" s="1076">
        <v>3</v>
      </c>
      <c r="AZ69" s="1076">
        <v>11</v>
      </c>
      <c r="BA69" s="1076">
        <v>0</v>
      </c>
      <c r="BB69" s="1076">
        <v>4</v>
      </c>
      <c r="BC69" s="1076">
        <v>115</v>
      </c>
      <c r="BD69" s="449">
        <v>10</v>
      </c>
      <c r="BE69" s="449">
        <v>10</v>
      </c>
      <c r="BF69" s="449">
        <v>10</v>
      </c>
      <c r="BG69" s="449">
        <v>10</v>
      </c>
      <c r="BH69" s="449">
        <v>10</v>
      </c>
      <c r="BI69" s="1076">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L282"/>
  <sheetViews>
    <sheetView showGridLines="0" topLeftCell="P23" zoomScale="90" workbookViewId="0">
      <selection activeCell="AC165" sqref="AC165:BE165"/>
    </sheetView>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4.140625" style="4274" hidden="1" customWidth="1"/>
    <col min="10" max="10" width="9.85546875" style="4274" hidden="1" customWidth="1"/>
    <col min="11" max="11" width="14.710937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5" style="4267" customWidth="1"/>
    <col min="21" max="21" width="0.140625" style="4267" customWidth="1"/>
    <col min="22" max="24" width="24.7109375" style="4267" hidden="1" customWidth="1"/>
    <col min="25" max="25" width="11.7109375" style="4267" hidden="1" customWidth="1"/>
    <col min="26" max="26" width="3.7109375" style="4267" hidden="1" customWidth="1"/>
    <col min="27" max="27" width="11.7109375" style="4267" hidden="1" customWidth="1"/>
    <col min="28" max="28" width="8.5703125" style="4267" hidden="1" customWidth="1"/>
    <col min="29" max="31" width="24" style="4267" customWidth="1"/>
    <col min="32" max="32" width="11" style="4267" customWidth="1"/>
    <col min="33" max="33" width="3.7109375" style="4267" customWidth="1"/>
    <col min="34" max="34" width="11" style="4267" customWidth="1"/>
    <col min="35" max="35" width="8.5703125" style="4267" customWidth="1"/>
    <col min="56" max="56" width="10.5703125" style="2" hidden="1"/>
    <col min="57" max="57" width="4" style="4267" customWidth="1"/>
    <col min="58" max="58" width="115" style="4267" customWidth="1"/>
    <col min="59" max="63" width="10" style="4275" customWidth="1"/>
    <col min="64" max="64" width="10.5703125" style="4267" hidden="1"/>
  </cols>
  <sheetData>
    <row r="1" spans="1:64" ht="22.5" hidden="1" customHeight="1">
      <c r="X1" s="265"/>
      <c r="Y1" s="265"/>
      <c r="AE1" s="265"/>
      <c r="AF1" s="265"/>
      <c r="AJ1" s="2054"/>
      <c r="AK1" s="2054"/>
      <c r="AL1" s="2054"/>
      <c r="AM1" s="2054"/>
      <c r="AN1" s="2054"/>
      <c r="AO1" s="2054"/>
      <c r="AP1" s="2054"/>
      <c r="AQ1" s="2054"/>
      <c r="AR1" s="2054"/>
      <c r="AS1" s="2054"/>
      <c r="AT1" s="2054"/>
      <c r="AU1" s="2054"/>
      <c r="AV1" s="2054"/>
      <c r="AW1" s="2054"/>
      <c r="AX1" s="2054"/>
      <c r="AY1" s="2054"/>
      <c r="AZ1" s="2054"/>
      <c r="BA1" s="2054"/>
      <c r="BB1" s="2054"/>
      <c r="BC1" s="2054"/>
      <c r="BD1" s="2054"/>
      <c r="BL1" s="1076" t="s">
        <v>14</v>
      </c>
    </row>
    <row r="2" spans="1:64" ht="23.25" hidden="1" customHeight="1">
      <c r="A2" s="1284"/>
      <c r="B2" s="1284"/>
      <c r="C2" s="1284"/>
      <c r="D2" s="1284"/>
      <c r="E2" s="5469">
        <v>1</v>
      </c>
      <c r="F2" s="1284"/>
      <c r="G2" s="1284"/>
      <c r="H2" s="1284"/>
      <c r="I2" s="1284"/>
      <c r="J2" s="1284"/>
      <c r="K2" s="1284"/>
      <c r="L2" s="1285"/>
      <c r="M2" s="1286"/>
      <c r="N2" s="1286"/>
      <c r="O2" s="1286"/>
      <c r="P2" s="299"/>
      <c r="Q2" s="298"/>
      <c r="R2" s="293"/>
      <c r="S2" s="1414" t="e">
        <f>INDEX(PT_DIFFERENTIATION_NUM_NTAR,MATCH(A2,PT_DIFFERENTIATION_NTAR_ID,0))</f>
        <v>#N/A</v>
      </c>
      <c r="T2" s="236" t="s">
        <v>155</v>
      </c>
      <c r="U2" s="238"/>
      <c r="V2" s="5463"/>
      <c r="W2" s="5464"/>
      <c r="X2" s="5464"/>
      <c r="Y2" s="5464"/>
      <c r="Z2" s="5464"/>
      <c r="AA2" s="5464"/>
      <c r="AB2" s="5465"/>
      <c r="AC2" s="5463" t="e">
        <f>INDEX(PT_DIFFERENTIATION_NTAR,MATCH(A2,PT_DIFFERENTIATION_NTAR_ID,0))</f>
        <v>#N/A</v>
      </c>
      <c r="AD2" s="5464"/>
      <c r="AE2" s="5464"/>
      <c r="AF2" s="5464"/>
      <c r="AG2" s="5464"/>
      <c r="AH2" s="5464"/>
      <c r="AI2" s="5464"/>
      <c r="AJ2" s="5463"/>
      <c r="AK2" s="5464"/>
      <c r="AL2" s="5464"/>
      <c r="AM2" s="5464"/>
      <c r="AN2" s="5464"/>
      <c r="AO2" s="5464"/>
      <c r="AP2" s="5465"/>
      <c r="AQ2" s="5463"/>
      <c r="AR2" s="5464"/>
      <c r="AS2" s="5464"/>
      <c r="AT2" s="5464"/>
      <c r="AU2" s="5464"/>
      <c r="AV2" s="5464"/>
      <c r="AW2" s="5465"/>
      <c r="AX2" s="5463"/>
      <c r="AY2" s="5464"/>
      <c r="AZ2" s="5464"/>
      <c r="BA2" s="5464"/>
      <c r="BB2" s="5464"/>
      <c r="BC2" s="5464"/>
      <c r="BD2" s="5465"/>
      <c r="BE2" s="5465"/>
      <c r="BF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2" s="438"/>
      <c r="BI2" s="438" t="str">
        <f t="shared" ref="BI2:BI13" si="0">IF(T2="","",T2)</f>
        <v>Наименование тарифа</v>
      </c>
      <c r="BJ2" s="438"/>
      <c r="BK2" s="438"/>
      <c r="BL2" s="1076">
        <v>0</v>
      </c>
    </row>
    <row r="3" spans="1:64" ht="23.25" hidden="1" customHeight="1">
      <c r="A3" s="1284"/>
      <c r="B3" s="1284"/>
      <c r="C3" s="1284"/>
      <c r="D3" s="1284"/>
      <c r="E3" s="5470"/>
      <c r="F3" s="5469">
        <v>1</v>
      </c>
      <c r="G3" s="1284"/>
      <c r="H3" s="1284"/>
      <c r="I3" s="1284"/>
      <c r="J3" s="1284"/>
      <c r="K3" s="1284"/>
      <c r="L3" s="1285"/>
      <c r="M3" s="1286"/>
      <c r="N3" s="1286"/>
      <c r="O3" s="1286"/>
      <c r="P3" s="1408"/>
      <c r="Q3" s="290"/>
      <c r="R3" s="291"/>
      <c r="S3" s="1414" t="e">
        <f>INDEX(PT_DIFFERENTIATION_NUM_TER,MATCH(B3,PT_DIFFERENTIATION_TER_ID,0))</f>
        <v>#N/A</v>
      </c>
      <c r="T3" s="246" t="s">
        <v>490</v>
      </c>
      <c r="U3" s="238"/>
      <c r="V3" s="5463"/>
      <c r="W3" s="5464"/>
      <c r="X3" s="5464"/>
      <c r="Y3" s="5464"/>
      <c r="Z3" s="5464"/>
      <c r="AA3" s="5464"/>
      <c r="AB3" s="5465"/>
      <c r="AC3" s="5463" t="e">
        <f>INDEX(PT_DIFFERENTIATION_TER,MATCH(B3,PT_DIFFERENTIATION_TER_ID,0))</f>
        <v>#N/A</v>
      </c>
      <c r="AD3" s="5464"/>
      <c r="AE3" s="5464"/>
      <c r="AF3" s="5464"/>
      <c r="AG3" s="5464"/>
      <c r="AH3" s="5464"/>
      <c r="AI3" s="5464"/>
      <c r="AJ3" s="5463"/>
      <c r="AK3" s="5464"/>
      <c r="AL3" s="5464"/>
      <c r="AM3" s="5464"/>
      <c r="AN3" s="5464"/>
      <c r="AO3" s="5464"/>
      <c r="AP3" s="5465"/>
      <c r="AQ3" s="5463"/>
      <c r="AR3" s="5464"/>
      <c r="AS3" s="5464"/>
      <c r="AT3" s="5464"/>
      <c r="AU3" s="5464"/>
      <c r="AV3" s="5464"/>
      <c r="AW3" s="5465"/>
      <c r="AX3" s="5463"/>
      <c r="AY3" s="5464"/>
      <c r="AZ3" s="5464"/>
      <c r="BA3" s="5464"/>
      <c r="BB3" s="5464"/>
      <c r="BC3" s="5464"/>
      <c r="BD3" s="5465"/>
      <c r="BE3" s="5465"/>
      <c r="BF3" s="1179" t="s">
        <v>491</v>
      </c>
      <c r="BH3" s="438"/>
      <c r="BI3" s="438" t="str">
        <f t="shared" si="0"/>
        <v>Территория действия тарифа</v>
      </c>
      <c r="BJ3" s="438"/>
      <c r="BK3" s="438"/>
      <c r="BL3" s="1076">
        <v>0</v>
      </c>
    </row>
    <row r="4" spans="1:64" ht="23.25" hidden="1" customHeight="1">
      <c r="A4" s="1284"/>
      <c r="B4" s="1284"/>
      <c r="C4" s="1284"/>
      <c r="D4" s="1284"/>
      <c r="E4" s="5470"/>
      <c r="F4" s="5470"/>
      <c r="G4" s="5469">
        <v>1</v>
      </c>
      <c r="H4" s="1284"/>
      <c r="I4" s="1284"/>
      <c r="J4" s="1284"/>
      <c r="K4" s="1284"/>
      <c r="L4" s="1285"/>
      <c r="M4" s="1286"/>
      <c r="N4" s="1286"/>
      <c r="O4" s="1286"/>
      <c r="P4" s="292"/>
      <c r="Q4" s="290"/>
      <c r="R4" s="291"/>
      <c r="S4" s="1414" t="e">
        <f>INDEX(PT_DIFFERENTIATION_NUM_CS,MATCH(C4,PT_DIFFERENTIATION_CS_ID,0))</f>
        <v>#N/A</v>
      </c>
      <c r="T4" s="247" t="s">
        <v>606</v>
      </c>
      <c r="U4" s="238"/>
      <c r="V4" s="5463"/>
      <c r="W4" s="5464"/>
      <c r="X4" s="5464"/>
      <c r="Y4" s="5464"/>
      <c r="Z4" s="5464"/>
      <c r="AA4" s="5464"/>
      <c r="AB4" s="5465"/>
      <c r="AC4" s="5463" t="e">
        <f>INDEX(PT_DIFFERENTIATION_CS,MATCH(C4,PT_DIFFERENTIATION_CS_ID,0))</f>
        <v>#N/A</v>
      </c>
      <c r="AD4" s="5464"/>
      <c r="AE4" s="5464"/>
      <c r="AF4" s="5464"/>
      <c r="AG4" s="5464"/>
      <c r="AH4" s="5464"/>
      <c r="AI4" s="5464"/>
      <c r="AJ4" s="5463"/>
      <c r="AK4" s="5464"/>
      <c r="AL4" s="5464"/>
      <c r="AM4" s="5464"/>
      <c r="AN4" s="5464"/>
      <c r="AO4" s="5464"/>
      <c r="AP4" s="5465"/>
      <c r="AQ4" s="5463"/>
      <c r="AR4" s="5464"/>
      <c r="AS4" s="5464"/>
      <c r="AT4" s="5464"/>
      <c r="AU4" s="5464"/>
      <c r="AV4" s="5464"/>
      <c r="AW4" s="5465"/>
      <c r="AX4" s="5463"/>
      <c r="AY4" s="5464"/>
      <c r="AZ4" s="5464"/>
      <c r="BA4" s="5464"/>
      <c r="BB4" s="5464"/>
      <c r="BC4" s="5464"/>
      <c r="BD4" s="5465"/>
      <c r="BE4" s="5465"/>
      <c r="BF4" s="1179" t="s">
        <v>607</v>
      </c>
      <c r="BH4" s="438"/>
      <c r="BI4" s="438" t="str">
        <f t="shared" si="0"/>
        <v>Наименование централизованной системы водоотведения</v>
      </c>
      <c r="BJ4" s="438"/>
      <c r="BK4" s="438"/>
      <c r="BL4" s="1076">
        <v>0</v>
      </c>
    </row>
    <row r="5" spans="1:64" ht="23.25" hidden="1" customHeight="1">
      <c r="A5" s="1284"/>
      <c r="B5" s="1284"/>
      <c r="C5" s="1284"/>
      <c r="D5" s="1284"/>
      <c r="E5" s="5470"/>
      <c r="F5" s="5470"/>
      <c r="G5" s="5470"/>
      <c r="H5" s="5470"/>
      <c r="I5" s="5471" t="e">
        <f>S4&amp;".1"</f>
        <v>#N/A</v>
      </c>
      <c r="J5" s="1284"/>
      <c r="K5" s="1284"/>
      <c r="L5" s="1285"/>
      <c r="P5" s="5473">
        <v>1</v>
      </c>
      <c r="Q5" s="1402"/>
      <c r="R5" s="294"/>
      <c r="S5" s="1414" t="e">
        <f>$I5</f>
        <v>#N/A</v>
      </c>
      <c r="T5" s="223" t="s">
        <v>573</v>
      </c>
      <c r="U5" s="238"/>
      <c r="V5" s="5537"/>
      <c r="W5" s="5538"/>
      <c r="X5" s="5538"/>
      <c r="Y5" s="5538"/>
      <c r="Z5" s="5538"/>
      <c r="AA5" s="5538"/>
      <c r="AB5" s="5539"/>
      <c r="AC5" s="5540"/>
      <c r="AD5" s="5541"/>
      <c r="AE5" s="5541"/>
      <c r="AF5" s="5541"/>
      <c r="AG5" s="5541"/>
      <c r="AH5" s="5541"/>
      <c r="AI5" s="5541"/>
      <c r="AJ5" s="5537"/>
      <c r="AK5" s="5538"/>
      <c r="AL5" s="5538"/>
      <c r="AM5" s="5538"/>
      <c r="AN5" s="5538"/>
      <c r="AO5" s="5538"/>
      <c r="AP5" s="5539"/>
      <c r="AQ5" s="5537"/>
      <c r="AR5" s="5538"/>
      <c r="AS5" s="5538"/>
      <c r="AT5" s="5538"/>
      <c r="AU5" s="5538"/>
      <c r="AV5" s="5538"/>
      <c r="AW5" s="5539"/>
      <c r="AX5" s="5537"/>
      <c r="AY5" s="5538"/>
      <c r="AZ5" s="5538"/>
      <c r="BA5" s="5538"/>
      <c r="BB5" s="5538"/>
      <c r="BC5" s="5538"/>
      <c r="BD5" s="5539"/>
      <c r="BE5" s="5542"/>
      <c r="BF5" s="1179" t="s">
        <v>574</v>
      </c>
      <c r="BH5" s="438"/>
      <c r="BI5" s="438" t="str">
        <f t="shared" si="0"/>
        <v>Наименование признака дифференциации</v>
      </c>
      <c r="BJ5" s="438"/>
      <c r="BK5" s="438"/>
      <c r="BL5" s="1076">
        <v>0</v>
      </c>
    </row>
    <row r="6" spans="1:64" ht="23.25" hidden="1" customHeight="1">
      <c r="A6" s="1284"/>
      <c r="B6" s="1284"/>
      <c r="C6" s="1284"/>
      <c r="D6" s="1284"/>
      <c r="E6" s="5470"/>
      <c r="F6" s="5470"/>
      <c r="G6" s="5470"/>
      <c r="H6" s="5470"/>
      <c r="I6" s="5472"/>
      <c r="J6" s="5471" t="e">
        <f>I5&amp;".1"</f>
        <v>#N/A</v>
      </c>
      <c r="K6" s="1284"/>
      <c r="L6" s="1285" t="s">
        <v>499</v>
      </c>
      <c r="P6" s="5473"/>
      <c r="Q6" s="5473">
        <v>1</v>
      </c>
      <c r="R6" s="295"/>
      <c r="S6" s="1414" t="e">
        <f>$J6</f>
        <v>#N/A</v>
      </c>
      <c r="T6" s="224" t="s">
        <v>500</v>
      </c>
      <c r="U6" s="238"/>
      <c r="V6" s="5457"/>
      <c r="W6" s="5458"/>
      <c r="X6" s="5458"/>
      <c r="Y6" s="5458"/>
      <c r="Z6" s="5458"/>
      <c r="AA6" s="5458"/>
      <c r="AB6" s="5459"/>
      <c r="AC6" s="5457"/>
      <c r="AD6" s="5458"/>
      <c r="AE6" s="5458"/>
      <c r="AF6" s="5458"/>
      <c r="AG6" s="5458"/>
      <c r="AH6" s="5458"/>
      <c r="AI6" s="5458"/>
      <c r="AJ6" s="5457"/>
      <c r="AK6" s="5458"/>
      <c r="AL6" s="5458"/>
      <c r="AM6" s="5458"/>
      <c r="AN6" s="5458"/>
      <c r="AO6" s="5458"/>
      <c r="AP6" s="5459"/>
      <c r="AQ6" s="5457"/>
      <c r="AR6" s="5458"/>
      <c r="AS6" s="5458"/>
      <c r="AT6" s="5458"/>
      <c r="AU6" s="5458"/>
      <c r="AV6" s="5458"/>
      <c r="AW6" s="5459"/>
      <c r="AX6" s="5457"/>
      <c r="AY6" s="5458"/>
      <c r="AZ6" s="5458"/>
      <c r="BA6" s="5458"/>
      <c r="BB6" s="5458"/>
      <c r="BC6" s="5458"/>
      <c r="BD6" s="5459"/>
      <c r="BE6" s="5459"/>
      <c r="BF6" s="1228" t="s">
        <v>575</v>
      </c>
      <c r="BH6" s="438"/>
      <c r="BI6" s="438" t="str">
        <f t="shared" si="0"/>
        <v>Группа потребителей</v>
      </c>
      <c r="BJ6" s="438"/>
      <c r="BK6" s="438"/>
      <c r="BL6" s="1076">
        <v>0</v>
      </c>
    </row>
    <row r="7" spans="1:64" ht="23.25" hidden="1" customHeight="1">
      <c r="A7" s="1284"/>
      <c r="B7" s="1284"/>
      <c r="C7" s="1284"/>
      <c r="D7" s="1284"/>
      <c r="E7" s="5470"/>
      <c r="F7" s="5470"/>
      <c r="G7" s="5470"/>
      <c r="H7" s="5470"/>
      <c r="I7" s="5472"/>
      <c r="J7" s="5472"/>
      <c r="K7" s="5471" t="e">
        <f>J6&amp;".1"</f>
        <v>#N/A</v>
      </c>
      <c r="L7" s="1285"/>
      <c r="P7" s="5473"/>
      <c r="Q7" s="5473"/>
      <c r="R7" s="295">
        <v>1</v>
      </c>
      <c r="S7" s="1414" t="e">
        <f>$K7</f>
        <v>#N/A</v>
      </c>
      <c r="T7" s="1358"/>
      <c r="U7" s="238"/>
      <c r="V7" s="689"/>
      <c r="W7" s="689"/>
      <c r="X7" s="1178"/>
      <c r="Y7" s="5474"/>
      <c r="Z7" s="5338" t="s">
        <v>66</v>
      </c>
      <c r="AA7" s="5474"/>
      <c r="AB7" s="5338" t="s">
        <v>66</v>
      </c>
      <c r="AC7" s="689"/>
      <c r="AD7" s="689"/>
      <c r="AE7" s="1178"/>
      <c r="AF7" s="5474"/>
      <c r="AG7" s="5338" t="s">
        <v>66</v>
      </c>
      <c r="AH7" s="5476"/>
      <c r="AI7" s="5338" t="s">
        <v>66</v>
      </c>
      <c r="AJ7" s="2055"/>
      <c r="AK7" s="2055"/>
      <c r="AL7" s="2056"/>
      <c r="AM7" s="5474"/>
      <c r="AN7" s="5338" t="s">
        <v>66</v>
      </c>
      <c r="AO7" s="5474"/>
      <c r="AP7" s="5338" t="s">
        <v>66</v>
      </c>
      <c r="AQ7" s="2055"/>
      <c r="AR7" s="2055"/>
      <c r="AS7" s="2056"/>
      <c r="AT7" s="5474"/>
      <c r="AU7" s="5338" t="s">
        <v>66</v>
      </c>
      <c r="AV7" s="5474"/>
      <c r="AW7" s="5338" t="s">
        <v>66</v>
      </c>
      <c r="AX7" s="2055"/>
      <c r="AY7" s="2055"/>
      <c r="AZ7" s="2056"/>
      <c r="BA7" s="5474"/>
      <c r="BB7" s="5338" t="s">
        <v>66</v>
      </c>
      <c r="BC7" s="5474"/>
      <c r="BD7" s="5338" t="s">
        <v>66</v>
      </c>
      <c r="BE7" s="1359"/>
      <c r="BF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 s="449" t="e">
        <f ca="1">STRCHECKDATE(V8:BE8)</f>
        <v>#NAME?</v>
      </c>
      <c r="BH7" s="438"/>
      <c r="BI7" s="438" t="str">
        <f t="shared" si="0"/>
        <v/>
      </c>
      <c r="BJ7" s="438"/>
      <c r="BK7" s="438"/>
      <c r="BL7" s="1076">
        <v>0</v>
      </c>
    </row>
    <row r="8" spans="1:64" ht="14.25" hidden="1" customHeight="1">
      <c r="A8" s="1284"/>
      <c r="B8" s="1284"/>
      <c r="C8" s="1284"/>
      <c r="D8" s="1284"/>
      <c r="E8" s="5470"/>
      <c r="F8" s="5470"/>
      <c r="G8" s="5470"/>
      <c r="H8" s="5470"/>
      <c r="I8" s="5472"/>
      <c r="J8" s="5472"/>
      <c r="K8" s="5471"/>
      <c r="L8" s="1285"/>
      <c r="P8" s="5473"/>
      <c r="Q8" s="5473"/>
      <c r="R8" s="295"/>
      <c r="S8" s="1411"/>
      <c r="T8" s="238"/>
      <c r="U8" s="238"/>
      <c r="V8" s="263"/>
      <c r="W8" s="263"/>
      <c r="X8" s="266" t="str">
        <f>Y7&amp;"-"&amp;AA7</f>
        <v>-</v>
      </c>
      <c r="Y8" s="5475"/>
      <c r="Z8" s="5338"/>
      <c r="AA8" s="5475"/>
      <c r="AB8" s="5338"/>
      <c r="AC8" s="263"/>
      <c r="AD8" s="263"/>
      <c r="AE8" s="266" t="str">
        <f>AF7&amp;"-"&amp;AH7</f>
        <v>-</v>
      </c>
      <c r="AF8" s="5475"/>
      <c r="AG8" s="5338"/>
      <c r="AH8" s="5477"/>
      <c r="AI8" s="5338"/>
      <c r="AJ8" s="2057"/>
      <c r="AK8" s="2057"/>
      <c r="AL8" s="2058" t="str">
        <f>AM7&amp;"-"&amp;AO7</f>
        <v>-</v>
      </c>
      <c r="AM8" s="5475"/>
      <c r="AN8" s="5338"/>
      <c r="AO8" s="5475"/>
      <c r="AP8" s="5338"/>
      <c r="AQ8" s="2057"/>
      <c r="AR8" s="2057"/>
      <c r="AS8" s="2058" t="str">
        <f>AT7&amp;"-"&amp;AV7</f>
        <v>-</v>
      </c>
      <c r="AT8" s="5475"/>
      <c r="AU8" s="5338"/>
      <c r="AV8" s="5475"/>
      <c r="AW8" s="5338"/>
      <c r="AX8" s="2057"/>
      <c r="AY8" s="2057"/>
      <c r="AZ8" s="2058" t="str">
        <f>BA7&amp;"-"&amp;BC7</f>
        <v>-</v>
      </c>
      <c r="BA8" s="5475"/>
      <c r="BB8" s="5338"/>
      <c r="BC8" s="5475"/>
      <c r="BD8" s="5338"/>
      <c r="BE8" s="1360"/>
      <c r="BF8" s="5543"/>
      <c r="BH8" s="438"/>
      <c r="BI8" s="438" t="str">
        <f t="shared" si="0"/>
        <v/>
      </c>
      <c r="BJ8" s="438"/>
      <c r="BK8" s="438"/>
      <c r="BL8" s="1076">
        <v>0</v>
      </c>
    </row>
    <row r="9" spans="1:64" ht="21" hidden="1" customHeight="1">
      <c r="A9" s="1284"/>
      <c r="B9" s="1284"/>
      <c r="C9" s="1284"/>
      <c r="D9" s="1284"/>
      <c r="E9" s="5470"/>
      <c r="F9" s="5470"/>
      <c r="G9" s="5470"/>
      <c r="H9" s="5470"/>
      <c r="I9" s="5472"/>
      <c r="J9" s="5471"/>
      <c r="K9" s="1284"/>
      <c r="L9" s="1285"/>
      <c r="P9" s="5473"/>
      <c r="Q9" s="5473"/>
      <c r="R9" s="294"/>
      <c r="S9" s="1199"/>
      <c r="T9" s="225" t="s">
        <v>576</v>
      </c>
      <c r="U9" s="305"/>
      <c r="V9" s="305"/>
      <c r="W9" s="305"/>
      <c r="X9" s="305"/>
      <c r="Y9" s="305"/>
      <c r="Z9" s="305"/>
      <c r="AA9" s="305"/>
      <c r="AB9" s="305"/>
      <c r="AC9" s="305"/>
      <c r="AD9" s="305"/>
      <c r="AE9" s="305"/>
      <c r="AF9" s="305"/>
      <c r="AG9" s="305"/>
      <c r="AH9" s="305"/>
      <c r="AI9" s="305"/>
      <c r="AJ9" s="2059"/>
      <c r="AK9" s="2060"/>
      <c r="AL9" s="2061"/>
      <c r="AM9" s="2062"/>
      <c r="AN9" s="2063"/>
      <c r="AO9" s="2064"/>
      <c r="AP9" s="2065"/>
      <c r="AQ9" s="2066"/>
      <c r="AR9" s="2067"/>
      <c r="AS9" s="2068"/>
      <c r="AT9" s="2069"/>
      <c r="AU9" s="2070"/>
      <c r="AV9" s="2071"/>
      <c r="AW9" s="2072"/>
      <c r="AX9" s="2073"/>
      <c r="AY9" s="2074"/>
      <c r="AZ9" s="2075"/>
      <c r="BA9" s="2076"/>
      <c r="BB9" s="2077"/>
      <c r="BC9" s="2078"/>
      <c r="BD9" s="2079"/>
      <c r="BE9" s="305"/>
      <c r="BF9" s="1179" t="s">
        <v>577</v>
      </c>
      <c r="BH9" s="438"/>
      <c r="BI9" s="438" t="str">
        <f t="shared" si="0"/>
        <v>Добавить значение признака дифференциации</v>
      </c>
      <c r="BJ9" s="438"/>
      <c r="BK9" s="438"/>
      <c r="BL9" s="1076">
        <v>0</v>
      </c>
    </row>
    <row r="10" spans="1:64" ht="21" hidden="1" customHeight="1">
      <c r="A10" s="1284"/>
      <c r="B10" s="1284"/>
      <c r="C10" s="1284"/>
      <c r="D10" s="1284"/>
      <c r="E10" s="5470"/>
      <c r="F10" s="5470"/>
      <c r="G10" s="5470"/>
      <c r="H10" s="5470"/>
      <c r="I10" s="5471"/>
      <c r="J10" s="1284"/>
      <c r="K10" s="1284"/>
      <c r="L10" s="1285"/>
      <c r="P10" s="5473"/>
      <c r="Q10" s="1402"/>
      <c r="R10" s="294"/>
      <c r="S10" s="1199"/>
      <c r="T10" s="303" t="s">
        <v>505</v>
      </c>
      <c r="U10" s="305"/>
      <c r="V10" s="305"/>
      <c r="W10" s="305"/>
      <c r="X10" s="305"/>
      <c r="Y10" s="305"/>
      <c r="Z10" s="305"/>
      <c r="AA10" s="305"/>
      <c r="AB10" s="304"/>
      <c r="AC10" s="305"/>
      <c r="AD10" s="305"/>
      <c r="AE10" s="305"/>
      <c r="AF10" s="305"/>
      <c r="AG10" s="305"/>
      <c r="AH10" s="305"/>
      <c r="AI10" s="304"/>
      <c r="AJ10" s="2080"/>
      <c r="AK10" s="2081"/>
      <c r="AL10" s="2082"/>
      <c r="AM10" s="2083"/>
      <c r="AN10" s="2084"/>
      <c r="AO10" s="2085"/>
      <c r="AP10" s="2086"/>
      <c r="AQ10" s="2087"/>
      <c r="AR10" s="2088"/>
      <c r="AS10" s="2089"/>
      <c r="AT10" s="2090"/>
      <c r="AU10" s="2091"/>
      <c r="AV10" s="2092"/>
      <c r="AW10" s="2093"/>
      <c r="AX10" s="2094"/>
      <c r="AY10" s="2095"/>
      <c r="AZ10" s="2096"/>
      <c r="BA10" s="2097"/>
      <c r="BB10" s="2098"/>
      <c r="BC10" s="2099"/>
      <c r="BD10" s="2100"/>
      <c r="BE10" s="305"/>
      <c r="BF10" s="1361"/>
      <c r="BH10" s="438"/>
      <c r="BI10" s="438" t="str">
        <f t="shared" si="0"/>
        <v>Добавить группу потребителей</v>
      </c>
      <c r="BJ10" s="438"/>
      <c r="BK10" s="438"/>
      <c r="BL10" s="1076">
        <v>0</v>
      </c>
    </row>
    <row r="11" spans="1:64" ht="21" hidden="1" customHeight="1">
      <c r="A11" s="1284"/>
      <c r="B11" s="1284"/>
      <c r="C11" s="1284"/>
      <c r="D11" s="1284"/>
      <c r="E11" s="5470"/>
      <c r="F11" s="5470"/>
      <c r="G11" s="5470"/>
      <c r="H11" s="5469"/>
      <c r="I11" s="1284"/>
      <c r="J11" s="1284"/>
      <c r="K11" s="1284"/>
      <c r="L11" s="1285"/>
      <c r="M11" s="1286"/>
      <c r="N11" s="1286"/>
      <c r="O11" s="475"/>
      <c r="P11" s="298"/>
      <c r="Q11" s="313"/>
      <c r="R11" s="293"/>
      <c r="S11" s="1199"/>
      <c r="T11" s="310" t="s">
        <v>578</v>
      </c>
      <c r="U11" s="305"/>
      <c r="V11" s="305"/>
      <c r="W11" s="305"/>
      <c r="X11" s="305"/>
      <c r="Y11" s="305"/>
      <c r="Z11" s="305"/>
      <c r="AA11" s="305"/>
      <c r="AB11" s="304"/>
      <c r="AC11" s="305"/>
      <c r="AD11" s="305"/>
      <c r="AE11" s="305"/>
      <c r="AF11" s="305"/>
      <c r="AG11" s="305"/>
      <c r="AH11" s="305"/>
      <c r="AI11" s="304"/>
      <c r="AJ11" s="2101"/>
      <c r="AK11" s="2102"/>
      <c r="AL11" s="2103"/>
      <c r="AM11" s="2104"/>
      <c r="AN11" s="2105"/>
      <c r="AO11" s="2106"/>
      <c r="AP11" s="2107"/>
      <c r="AQ11" s="2108"/>
      <c r="AR11" s="2109"/>
      <c r="AS11" s="2110"/>
      <c r="AT11" s="2111"/>
      <c r="AU11" s="2112"/>
      <c r="AV11" s="2113"/>
      <c r="AW11" s="2114"/>
      <c r="AX11" s="2115"/>
      <c r="AY11" s="2116"/>
      <c r="AZ11" s="2117"/>
      <c r="BA11" s="2118"/>
      <c r="BB11" s="2119"/>
      <c r="BC11" s="2120"/>
      <c r="BD11" s="2121"/>
      <c r="BE11" s="305"/>
      <c r="BF11" s="241"/>
      <c r="BH11" s="438"/>
      <c r="BI11" s="438" t="str">
        <f t="shared" si="0"/>
        <v>Добавить наименование признака дифференциации</v>
      </c>
      <c r="BJ11" s="438"/>
      <c r="BK11" s="438"/>
      <c r="BL11" s="1076">
        <v>0</v>
      </c>
    </row>
    <row r="12" spans="1:64" s="4275" customFormat="1" ht="14.25" hidden="1" customHeight="1">
      <c r="A12" s="1264"/>
      <c r="B12" s="1264"/>
      <c r="C12" s="1235"/>
      <c r="D12" s="1235"/>
      <c r="E12" s="5470"/>
      <c r="F12" s="5469"/>
      <c r="G12" s="1235"/>
      <c r="H12" s="1235"/>
      <c r="I12" s="1235"/>
      <c r="J12" s="1235"/>
      <c r="K12" s="1235"/>
      <c r="L12" s="1415"/>
      <c r="M12" s="1242"/>
      <c r="N12" s="1242"/>
      <c r="P12" s="1237"/>
      <c r="Q12" s="1238"/>
      <c r="R12" s="1237"/>
      <c r="S12" s="1243"/>
      <c r="T12" s="1246" t="s">
        <v>312</v>
      </c>
      <c r="U12" s="1245"/>
      <c r="V12" s="1245"/>
      <c r="W12" s="1245"/>
      <c r="X12" s="1245"/>
      <c r="Y12" s="1245"/>
      <c r="Z12" s="1245"/>
      <c r="AA12" s="1245"/>
      <c r="AB12" s="1245"/>
      <c r="AC12" s="1245"/>
      <c r="AD12" s="1245"/>
      <c r="AE12" s="1245"/>
      <c r="AF12" s="1245"/>
      <c r="AG12" s="1245"/>
      <c r="AH12" s="1245"/>
      <c r="AI12" s="1245"/>
      <c r="AJ12" s="2122"/>
      <c r="AK12" s="2122"/>
      <c r="AL12" s="2122"/>
      <c r="AM12" s="2122"/>
      <c r="AN12" s="2122"/>
      <c r="AO12" s="2122"/>
      <c r="AP12" s="2122"/>
      <c r="AQ12" s="2122"/>
      <c r="AR12" s="2122"/>
      <c r="AS12" s="2122"/>
      <c r="AT12" s="2122"/>
      <c r="AU12" s="2122"/>
      <c r="AV12" s="2122"/>
      <c r="AW12" s="2122"/>
      <c r="AX12" s="2122"/>
      <c r="AY12" s="2122"/>
      <c r="AZ12" s="2122"/>
      <c r="BA12" s="2122"/>
      <c r="BB12" s="2122"/>
      <c r="BC12" s="2122"/>
      <c r="BD12" s="2122"/>
      <c r="BE12" s="1245"/>
      <c r="BF12" s="1245"/>
      <c r="BH12" s="721"/>
      <c r="BI12" s="721" t="str">
        <f t="shared" si="0"/>
        <v>Добавить централизованную систему для дифференциации</v>
      </c>
      <c r="BJ12" s="721"/>
      <c r="BK12" s="721"/>
      <c r="BL12" s="456">
        <v>0</v>
      </c>
    </row>
    <row r="13" spans="1:64" s="4275" customFormat="1" ht="14.25" hidden="1" customHeight="1">
      <c r="A13" s="1264"/>
      <c r="B13" s="1264"/>
      <c r="C13" s="1264"/>
      <c r="D13" s="1264"/>
      <c r="E13" s="5469"/>
      <c r="F13" s="1264"/>
      <c r="G13" s="1264"/>
      <c r="H13" s="1264"/>
      <c r="I13" s="1264"/>
      <c r="J13" s="1264"/>
      <c r="K13" s="1264"/>
      <c r="L13" s="1267"/>
      <c r="M13" s="1242"/>
      <c r="N13" s="1242"/>
      <c r="O13" s="456"/>
      <c r="P13" s="318"/>
      <c r="Q13" s="1265"/>
      <c r="R13" s="318"/>
      <c r="S13" s="1243"/>
      <c r="T13" s="1246" t="s">
        <v>360</v>
      </c>
      <c r="U13" s="1245"/>
      <c r="V13" s="1245"/>
      <c r="W13" s="1245"/>
      <c r="X13" s="1245"/>
      <c r="Y13" s="1245"/>
      <c r="Z13" s="1245"/>
      <c r="AA13" s="1245"/>
      <c r="AB13" s="1245"/>
      <c r="AC13" s="1245"/>
      <c r="AD13" s="1245"/>
      <c r="AE13" s="1245"/>
      <c r="AF13" s="1245"/>
      <c r="AG13" s="1245"/>
      <c r="AH13" s="1245"/>
      <c r="AI13" s="1245"/>
      <c r="AJ13" s="2122"/>
      <c r="AK13" s="2122"/>
      <c r="AL13" s="2122"/>
      <c r="AM13" s="2122"/>
      <c r="AN13" s="2122"/>
      <c r="AO13" s="2122"/>
      <c r="AP13" s="2122"/>
      <c r="AQ13" s="2122"/>
      <c r="AR13" s="2122"/>
      <c r="AS13" s="2122"/>
      <c r="AT13" s="2122"/>
      <c r="AU13" s="2122"/>
      <c r="AV13" s="2122"/>
      <c r="AW13" s="2122"/>
      <c r="AX13" s="2122"/>
      <c r="AY13" s="2122"/>
      <c r="AZ13" s="2122"/>
      <c r="BA13" s="2122"/>
      <c r="BB13" s="2122"/>
      <c r="BC13" s="2122"/>
      <c r="BD13" s="2122"/>
      <c r="BE13" s="1245"/>
      <c r="BF13" s="1245"/>
      <c r="BH13" s="438"/>
      <c r="BI13" s="438" t="str">
        <f t="shared" si="0"/>
        <v>Добавить территорию для дифференциации</v>
      </c>
      <c r="BJ13" s="438"/>
      <c r="BK13" s="438"/>
      <c r="BL13" s="449">
        <v>0</v>
      </c>
    </row>
    <row r="14" spans="1:64" ht="14.25" hidden="1" customHeight="1">
      <c r="AB14" s="265"/>
      <c r="AI14" s="265"/>
      <c r="AJ14" s="2054"/>
      <c r="AK14" s="2054"/>
      <c r="AL14" s="2054"/>
      <c r="AM14" s="2054"/>
      <c r="AN14" s="2054"/>
      <c r="AO14" s="2054"/>
      <c r="AP14" s="2054"/>
      <c r="AQ14" s="2054"/>
      <c r="AR14" s="2054"/>
      <c r="AS14" s="2054"/>
      <c r="AT14" s="2054"/>
      <c r="AU14" s="2054"/>
      <c r="AV14" s="2054"/>
      <c r="AW14" s="2054"/>
      <c r="AX14" s="2054"/>
      <c r="AY14" s="2054"/>
      <c r="AZ14" s="2054"/>
      <c r="BA14" s="2054"/>
      <c r="BB14" s="2054"/>
      <c r="BC14" s="2054"/>
      <c r="BD14" s="2054"/>
      <c r="BL14" s="1076">
        <v>0</v>
      </c>
    </row>
    <row r="15" spans="1:64" ht="14.25" hidden="1" customHeight="1">
      <c r="AC15" s="1281"/>
      <c r="AD15" s="1281"/>
      <c r="AE15" s="1282"/>
      <c r="AF15" s="5467"/>
      <c r="AG15" s="5466" t="s">
        <v>66</v>
      </c>
      <c r="AH15" s="5467"/>
      <c r="AI15" s="5466" t="s">
        <v>66</v>
      </c>
      <c r="AJ15" s="2054"/>
      <c r="AK15" s="2054"/>
      <c r="AL15" s="2054"/>
      <c r="AM15" s="2054"/>
      <c r="AN15" s="2054"/>
      <c r="AO15" s="2054"/>
      <c r="AP15" s="2054"/>
      <c r="AQ15" s="2054"/>
      <c r="AR15" s="2054"/>
      <c r="AS15" s="2054"/>
      <c r="AT15" s="2054"/>
      <c r="AU15" s="2054"/>
      <c r="AV15" s="2054"/>
      <c r="AW15" s="2054"/>
      <c r="AX15" s="2054"/>
      <c r="AY15" s="2054"/>
      <c r="AZ15" s="2054"/>
      <c r="BA15" s="2054"/>
      <c r="BB15" s="2054"/>
      <c r="BC15" s="2054"/>
      <c r="BD15" s="2054"/>
      <c r="BL15" s="1076">
        <v>0</v>
      </c>
    </row>
    <row r="16" spans="1:64" ht="14.25" hidden="1" customHeight="1">
      <c r="AC16" s="1281"/>
      <c r="AD16" s="1281"/>
      <c r="AE16" s="266" t="str">
        <f>AF15&amp;"-"&amp;AH15</f>
        <v>-</v>
      </c>
      <c r="AF16" s="5466"/>
      <c r="AG16" s="5466"/>
      <c r="AH16" s="5466"/>
      <c r="AI16" s="5466"/>
      <c r="AJ16" s="2054"/>
      <c r="AK16" s="2054"/>
      <c r="AL16" s="2054"/>
      <c r="AM16" s="2054"/>
      <c r="AN16" s="2054"/>
      <c r="AO16" s="2054"/>
      <c r="AP16" s="2054"/>
      <c r="AQ16" s="2054"/>
      <c r="AR16" s="2054"/>
      <c r="AS16" s="2054"/>
      <c r="AT16" s="2054"/>
      <c r="AU16" s="2054"/>
      <c r="AV16" s="2054"/>
      <c r="AW16" s="2054"/>
      <c r="AX16" s="2054"/>
      <c r="AY16" s="2054"/>
      <c r="AZ16" s="2054"/>
      <c r="BA16" s="2054"/>
      <c r="BB16" s="2054"/>
      <c r="BC16" s="2054"/>
      <c r="BD16" s="2054"/>
      <c r="BL16" s="1076">
        <v>0</v>
      </c>
    </row>
    <row r="17" spans="1:64" ht="14.25" hidden="1" customHeight="1">
      <c r="AI17" s="265"/>
      <c r="AJ17" s="2054"/>
      <c r="AK17" s="2054"/>
      <c r="AL17" s="2054"/>
      <c r="AM17" s="2054"/>
      <c r="AN17" s="2054"/>
      <c r="AO17" s="2054"/>
      <c r="AP17" s="2054"/>
      <c r="AQ17" s="2054"/>
      <c r="AR17" s="2054"/>
      <c r="AS17" s="2054"/>
      <c r="AT17" s="2054"/>
      <c r="AU17" s="2054"/>
      <c r="AV17" s="2054"/>
      <c r="AW17" s="2054"/>
      <c r="AX17" s="2054"/>
      <c r="AY17" s="2054"/>
      <c r="AZ17" s="2054"/>
      <c r="BA17" s="2054"/>
      <c r="BB17" s="2054"/>
      <c r="BC17" s="2054"/>
      <c r="BD17" s="2054"/>
      <c r="BL17" s="1076">
        <v>0</v>
      </c>
    </row>
    <row r="18" spans="1:64" s="4274" customFormat="1" ht="22.5" hidden="1" customHeight="1">
      <c r="L18" s="1399"/>
      <c r="M18" s="1283"/>
      <c r="N18" s="1283"/>
      <c r="O18" s="1288" t="s">
        <v>508</v>
      </c>
      <c r="P18" s="1283"/>
      <c r="Q18" s="1292"/>
      <c r="R18" s="1292"/>
      <c r="S18" s="667"/>
      <c r="Y18" s="1288"/>
      <c r="AA18" s="1288"/>
      <c r="AB18" s="1287"/>
      <c r="AF18" s="1288"/>
      <c r="AH18" s="1288"/>
      <c r="AI18" s="1287"/>
      <c r="AJ18" s="2123"/>
      <c r="AK18" s="2123"/>
      <c r="AL18" s="2123"/>
      <c r="AM18" s="2124"/>
      <c r="AN18" s="2123"/>
      <c r="AO18" s="2124"/>
      <c r="AP18" s="2123"/>
      <c r="AQ18" s="2123"/>
      <c r="AR18" s="2123"/>
      <c r="AS18" s="2123"/>
      <c r="AT18" s="2124"/>
      <c r="AU18" s="2123"/>
      <c r="AV18" s="2124"/>
      <c r="AW18" s="2123"/>
      <c r="AX18" s="2123"/>
      <c r="AY18" s="2123"/>
      <c r="AZ18" s="2123"/>
      <c r="BA18" s="2124"/>
      <c r="BB18" s="2123"/>
      <c r="BC18" s="2124"/>
      <c r="BD18" s="2123"/>
      <c r="BG18" s="449"/>
      <c r="BH18" s="449"/>
      <c r="BI18" s="449"/>
      <c r="BJ18" s="449"/>
      <c r="BK18" s="449"/>
      <c r="BL18" s="1081">
        <v>0</v>
      </c>
    </row>
    <row r="19" spans="1:64" s="4274" customFormat="1" ht="14.25" hidden="1" customHeight="1">
      <c r="L19" s="1399"/>
      <c r="M19" s="1283"/>
      <c r="N19" s="1283"/>
      <c r="O19" s="1283"/>
      <c r="P19" s="1283"/>
      <c r="Q19" s="1292"/>
      <c r="R19" s="1292"/>
      <c r="S19" s="667"/>
      <c r="AB19" s="1287"/>
      <c r="AI19" s="1287"/>
      <c r="AJ19" s="2123"/>
      <c r="AK19" s="2123"/>
      <c r="AL19" s="2123"/>
      <c r="AM19" s="2123"/>
      <c r="AN19" s="2123"/>
      <c r="AO19" s="2123"/>
      <c r="AP19" s="2123"/>
      <c r="AQ19" s="2123"/>
      <c r="AR19" s="2123"/>
      <c r="AS19" s="2123"/>
      <c r="AT19" s="2123"/>
      <c r="AU19" s="2123"/>
      <c r="AV19" s="2123"/>
      <c r="AW19" s="2123"/>
      <c r="AX19" s="2123"/>
      <c r="AY19" s="2123"/>
      <c r="AZ19" s="2123"/>
      <c r="BA19" s="2123"/>
      <c r="BB19" s="2123"/>
      <c r="BC19" s="2123"/>
      <c r="BD19" s="2123"/>
      <c r="BG19" s="449"/>
      <c r="BH19" s="449"/>
      <c r="BI19" s="449"/>
      <c r="BJ19" s="449"/>
      <c r="BK19" s="449"/>
      <c r="BL19" s="1081">
        <v>0</v>
      </c>
    </row>
    <row r="20" spans="1:64" s="4274" customFormat="1" ht="12" hidden="1" customHeight="1">
      <c r="L20" s="1399"/>
      <c r="M20" s="1283"/>
      <c r="N20" s="1283"/>
      <c r="O20" s="1285" t="s">
        <v>509</v>
      </c>
      <c r="P20" s="1283"/>
      <c r="Q20" s="1363"/>
      <c r="R20" s="1363"/>
      <c r="S20" s="667"/>
      <c r="T20" s="1081" t="s">
        <v>510</v>
      </c>
      <c r="Z20" s="124" t="s">
        <v>511</v>
      </c>
      <c r="AB20" s="124" t="s">
        <v>512</v>
      </c>
      <c r="AC20" s="1081" t="s">
        <v>510</v>
      </c>
      <c r="AG20" s="124" t="s">
        <v>513</v>
      </c>
      <c r="AI20" s="124" t="s">
        <v>512</v>
      </c>
      <c r="AJ20" s="2123"/>
      <c r="AK20" s="2123"/>
      <c r="AL20" s="2123"/>
      <c r="AM20" s="2123"/>
      <c r="AN20" s="2125" t="s">
        <v>511</v>
      </c>
      <c r="AO20" s="2123"/>
      <c r="AP20" s="2125" t="s">
        <v>512</v>
      </c>
      <c r="AQ20" s="2123"/>
      <c r="AR20" s="2123"/>
      <c r="AS20" s="2123"/>
      <c r="AT20" s="2123"/>
      <c r="AU20" s="2125" t="s">
        <v>511</v>
      </c>
      <c r="AV20" s="2123"/>
      <c r="AW20" s="2125" t="s">
        <v>512</v>
      </c>
      <c r="AX20" s="2123"/>
      <c r="AY20" s="2123"/>
      <c r="AZ20" s="2123"/>
      <c r="BA20" s="2123"/>
      <c r="BB20" s="2125" t="s">
        <v>511</v>
      </c>
      <c r="BC20" s="2123"/>
      <c r="BD20" s="2125" t="s">
        <v>512</v>
      </c>
      <c r="BL20" s="1081">
        <v>0</v>
      </c>
    </row>
    <row r="21" spans="1:64" ht="14.25" hidden="1" customHeight="1">
      <c r="O21" s="1285"/>
      <c r="AJ21" s="2054"/>
      <c r="AK21" s="2054"/>
      <c r="AL21" s="2054"/>
      <c r="AM21" s="2054"/>
      <c r="AN21" s="2054"/>
      <c r="AO21" s="2054"/>
      <c r="AP21" s="2054"/>
      <c r="AQ21" s="2054"/>
      <c r="AR21" s="2054"/>
      <c r="AS21" s="2054"/>
      <c r="AT21" s="2054"/>
      <c r="AU21" s="2054"/>
      <c r="AV21" s="2054"/>
      <c r="AW21" s="2054"/>
      <c r="AX21" s="2054"/>
      <c r="AY21" s="2054"/>
      <c r="AZ21" s="2054"/>
      <c r="BA21" s="2054"/>
      <c r="BB21" s="2054"/>
      <c r="BC21" s="2054"/>
      <c r="BD21" s="2054"/>
      <c r="BL21" s="1076">
        <v>0</v>
      </c>
    </row>
    <row r="22" spans="1:64" ht="14.25" hidden="1" customHeight="1">
      <c r="O22" s="1285"/>
      <c r="AJ22" s="2054"/>
      <c r="AK22" s="2054"/>
      <c r="AL22" s="2054"/>
      <c r="AM22" s="2054"/>
      <c r="AN22" s="2054"/>
      <c r="AO22" s="2054"/>
      <c r="AP22" s="2054"/>
      <c r="AQ22" s="2054"/>
      <c r="AR22" s="2054"/>
      <c r="AS22" s="2054"/>
      <c r="AT22" s="2054"/>
      <c r="AU22" s="2054"/>
      <c r="AV22" s="2054"/>
      <c r="AW22" s="2054"/>
      <c r="AX22" s="2054"/>
      <c r="AY22" s="2054"/>
      <c r="AZ22" s="2054"/>
      <c r="BA22" s="2054"/>
      <c r="BB22" s="2054"/>
      <c r="BC22" s="2054"/>
      <c r="BD22" s="2054"/>
      <c r="BL22" s="1076">
        <v>0</v>
      </c>
    </row>
    <row r="23" spans="1:64" ht="14.65" customHeight="1">
      <c r="Q23" s="314"/>
      <c r="R23" s="314"/>
      <c r="S23" s="1196"/>
      <c r="T23" s="301"/>
      <c r="U23" s="301"/>
      <c r="V23" s="447"/>
      <c r="W23" s="447"/>
      <c r="X23" s="447"/>
      <c r="Y23" s="447"/>
      <c r="Z23" s="447"/>
      <c r="AA23" s="447"/>
      <c r="AB23" s="447"/>
      <c r="AC23" s="447"/>
      <c r="AD23" s="447"/>
      <c r="AE23" s="447"/>
      <c r="AF23" s="447"/>
      <c r="AG23" s="447"/>
      <c r="AH23" s="447"/>
      <c r="AI23" s="447"/>
      <c r="AJ23" s="2054"/>
      <c r="AK23" s="2054"/>
      <c r="AL23" s="2054"/>
      <c r="AM23" s="2054"/>
      <c r="AN23" s="2054"/>
      <c r="AO23" s="2054"/>
      <c r="AP23" s="2054"/>
      <c r="AQ23" s="2054"/>
      <c r="AR23" s="2054"/>
      <c r="AS23" s="2054"/>
      <c r="AT23" s="2054"/>
      <c r="AU23" s="2054"/>
      <c r="AV23" s="2054"/>
      <c r="AW23" s="2054"/>
      <c r="AX23" s="2054"/>
      <c r="AY23" s="2054"/>
      <c r="AZ23" s="2054"/>
      <c r="BA23" s="2054"/>
      <c r="BB23" s="2054"/>
      <c r="BC23" s="2054"/>
      <c r="BD23" s="2054"/>
      <c r="BL23" s="1076">
        <v>14</v>
      </c>
    </row>
    <row r="24" spans="1:64" ht="14.65" customHeight="1">
      <c r="Q24" s="314"/>
      <c r="R24" s="314"/>
      <c r="S24" s="54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5450"/>
      <c r="U24" s="5450"/>
      <c r="V24" s="5450"/>
      <c r="W24" s="5450"/>
      <c r="X24" s="5450"/>
      <c r="Y24" s="5450"/>
      <c r="Z24" s="5450"/>
      <c r="AA24" s="5450"/>
      <c r="AB24" s="5450"/>
      <c r="AC24" s="5450"/>
      <c r="AD24" s="5450"/>
      <c r="AE24" s="5450"/>
      <c r="AF24" s="5450"/>
      <c r="AG24" s="5450"/>
      <c r="AH24" s="5450"/>
      <c r="AI24" s="1164"/>
      <c r="AJ24" s="2126"/>
      <c r="AK24" s="2126"/>
      <c r="AL24" s="2126"/>
      <c r="AM24" s="2126"/>
      <c r="AN24" s="2126"/>
      <c r="AO24" s="2126"/>
      <c r="AP24" s="2126"/>
      <c r="AQ24" s="2126"/>
      <c r="AR24" s="2126"/>
      <c r="AS24" s="2126"/>
      <c r="AT24" s="2126"/>
      <c r="AU24" s="2126"/>
      <c r="AV24" s="2126"/>
      <c r="AW24" s="2126"/>
      <c r="AX24" s="2126"/>
      <c r="AY24" s="2126"/>
      <c r="AZ24" s="2126"/>
      <c r="BA24" s="2126"/>
      <c r="BB24" s="2126"/>
      <c r="BC24" s="2126"/>
      <c r="BD24" s="2126"/>
      <c r="BL24" s="1076">
        <v>14</v>
      </c>
    </row>
    <row r="25" spans="1:64" ht="14.65" customHeight="1">
      <c r="Q25" s="314"/>
      <c r="R25" s="314"/>
      <c r="S25" s="5423" t="str">
        <f>IF(org=0,"Не определено",org)</f>
        <v>КГУП "Примтеплоэнерго"</v>
      </c>
      <c r="T25" s="5423"/>
      <c r="U25" s="5423"/>
      <c r="V25" s="5423"/>
      <c r="W25" s="5423"/>
      <c r="X25" s="5423"/>
      <c r="Y25" s="5423"/>
      <c r="Z25" s="5423"/>
      <c r="AA25" s="5423"/>
      <c r="AB25" s="5423"/>
      <c r="AC25" s="5423"/>
      <c r="AD25" s="5423"/>
      <c r="AE25" s="5423"/>
      <c r="AF25" s="5423"/>
      <c r="AG25" s="5423"/>
      <c r="AH25" s="5423"/>
      <c r="AI25" s="1164"/>
      <c r="AJ25" s="2127"/>
      <c r="AK25" s="2127"/>
      <c r="AL25" s="2127"/>
      <c r="AM25" s="2127"/>
      <c r="AN25" s="2127"/>
      <c r="AO25" s="2127"/>
      <c r="AP25" s="2127"/>
      <c r="AQ25" s="2127"/>
      <c r="AR25" s="2127"/>
      <c r="AS25" s="2127"/>
      <c r="AT25" s="2127"/>
      <c r="AU25" s="2127"/>
      <c r="AV25" s="2127"/>
      <c r="AW25" s="2127"/>
      <c r="AX25" s="2127"/>
      <c r="AY25" s="2127"/>
      <c r="AZ25" s="2127"/>
      <c r="BA25" s="2127"/>
      <c r="BB25" s="2127"/>
      <c r="BC25" s="2127"/>
      <c r="BD25" s="2127"/>
      <c r="BL25" s="1076">
        <v>14</v>
      </c>
    </row>
    <row r="26" spans="1:64" ht="14.25" hidden="1" customHeight="1">
      <c r="Q26" s="314"/>
      <c r="R26" s="314"/>
      <c r="S26" s="1196"/>
      <c r="T26" s="301"/>
      <c r="U26" s="301"/>
      <c r="V26" s="260"/>
      <c r="W26" s="260"/>
      <c r="X26" s="260"/>
      <c r="Y26" s="260"/>
      <c r="Z26" s="260"/>
      <c r="AA26" s="260"/>
      <c r="AB26" s="260"/>
      <c r="AC26" s="260"/>
      <c r="AD26" s="260"/>
      <c r="AE26" s="260"/>
      <c r="AF26" s="260"/>
      <c r="AG26" s="260"/>
      <c r="AH26" s="260"/>
      <c r="AI26" s="260"/>
      <c r="AJ26" s="2128"/>
      <c r="AK26" s="2128"/>
      <c r="AL26" s="2128"/>
      <c r="AM26" s="2128"/>
      <c r="AN26" s="2128"/>
      <c r="AO26" s="2128"/>
      <c r="AP26" s="2128"/>
      <c r="AQ26" s="2128"/>
      <c r="AR26" s="2128"/>
      <c r="AS26" s="2128"/>
      <c r="AT26" s="2128"/>
      <c r="AU26" s="2128"/>
      <c r="AV26" s="2128"/>
      <c r="AW26" s="2128"/>
      <c r="AX26" s="2128"/>
      <c r="AY26" s="2128"/>
      <c r="AZ26" s="2128"/>
      <c r="BA26" s="2128"/>
      <c r="BB26" s="2128"/>
      <c r="BC26" s="2128"/>
      <c r="BD26" s="2128"/>
      <c r="BE26" s="447"/>
      <c r="BL26" s="1076">
        <v>0</v>
      </c>
    </row>
    <row r="27" spans="1:64" s="4284" customFormat="1" ht="25.5" hidden="1" customHeight="1">
      <c r="A27" s="1289"/>
      <c r="B27" s="1289"/>
      <c r="C27" s="1289"/>
      <c r="D27" s="1289"/>
      <c r="E27" s="1289"/>
      <c r="F27" s="1289"/>
      <c r="G27" s="1289"/>
      <c r="H27" s="1289"/>
      <c r="I27" s="1289"/>
      <c r="J27" s="1289"/>
      <c r="K27" s="1289"/>
      <c r="L27" s="1290"/>
      <c r="M27" s="1289"/>
      <c r="N27" s="1289"/>
      <c r="O27" s="1289"/>
      <c r="S27" s="5460" t="s">
        <v>42</v>
      </c>
      <c r="T27" s="5460"/>
      <c r="U27" s="1293"/>
      <c r="V27" s="5462" t="str">
        <f>IF(TITLE_NAME_OR_PR_CHANGE="",IF(TITLE_NAME_OR_PR="","",TITLE_NAME_OR_PR),TITLE_NAME_OR_PR_CHANGE)</f>
        <v/>
      </c>
      <c r="W27" s="5462"/>
      <c r="X27" s="5462"/>
      <c r="Y27" s="5462"/>
      <c r="Z27" s="5462"/>
      <c r="AA27" s="5462"/>
      <c r="AB27" s="264"/>
      <c r="AC27" s="5462" t="str">
        <f>IF(TITLE_NAME_OR_PR_CHANGE="",IF(TITLE_NAME_OR_PR="","",TITLE_NAME_OR_PR),TITLE_NAME_OR_PR_CHANGE)</f>
        <v/>
      </c>
      <c r="AD27" s="5462"/>
      <c r="AE27" s="5462"/>
      <c r="AF27" s="5462"/>
      <c r="AG27" s="5462"/>
      <c r="AH27" s="5462"/>
      <c r="AI27" s="264"/>
      <c r="AJ27" s="5462" t="str">
        <f>IF(TITLE_NAME_OR_PR_CHANGE="",IF(TITLE_NAME_OR_PR="","",TITLE_NAME_OR_PR),TITLE_NAME_OR_PR_CHANGE)</f>
        <v/>
      </c>
      <c r="AK27" s="5462"/>
      <c r="AL27" s="5462"/>
      <c r="AM27" s="5462"/>
      <c r="AN27" s="5462"/>
      <c r="AO27" s="5462"/>
      <c r="AP27" s="2054"/>
      <c r="AQ27" s="5462" t="str">
        <f>IF(TITLE_NAME_OR_PR_CHANGE="",IF(TITLE_NAME_OR_PR="","",TITLE_NAME_OR_PR),TITLE_NAME_OR_PR_CHANGE)</f>
        <v/>
      </c>
      <c r="AR27" s="5462"/>
      <c r="AS27" s="5462"/>
      <c r="AT27" s="5462"/>
      <c r="AU27" s="5462"/>
      <c r="AV27" s="5462"/>
      <c r="AW27" s="2054"/>
      <c r="AX27" s="5462" t="str">
        <f>IF(TITLE_NAME_OR_PR_CHANGE="",IF(TITLE_NAME_OR_PR="","",TITLE_NAME_OR_PR),TITLE_NAME_OR_PR_CHANGE)</f>
        <v/>
      </c>
      <c r="AY27" s="5462"/>
      <c r="AZ27" s="5462"/>
      <c r="BA27" s="5462"/>
      <c r="BB27" s="5462"/>
      <c r="BC27" s="5462"/>
      <c r="BD27" s="2054"/>
      <c r="BE27" s="264"/>
      <c r="BF27" s="218"/>
      <c r="BG27" s="306"/>
      <c r="BH27" s="306"/>
      <c r="BI27" s="306"/>
      <c r="BJ27" s="306"/>
      <c r="BK27" s="306"/>
      <c r="BL27" s="356">
        <v>0</v>
      </c>
    </row>
    <row r="28" spans="1:64" s="4284" customFormat="1" ht="18.75" hidden="1" customHeight="1">
      <c r="A28" s="1289"/>
      <c r="B28" s="1289"/>
      <c r="C28" s="1289"/>
      <c r="D28" s="1289"/>
      <c r="E28" s="1289"/>
      <c r="F28" s="1289"/>
      <c r="G28" s="1289"/>
      <c r="H28" s="1289"/>
      <c r="I28" s="1289"/>
      <c r="J28" s="1289"/>
      <c r="K28" s="1289"/>
      <c r="L28" s="1290"/>
      <c r="M28" s="1289"/>
      <c r="N28" s="1289"/>
      <c r="O28" s="1289"/>
      <c r="S28" s="5460" t="s">
        <v>514</v>
      </c>
      <c r="T28" s="5460"/>
      <c r="U28" s="1293"/>
      <c r="V28" s="5461">
        <f>IF(TITLE_DATE_PR_CHANGE="",IF(TITLE_DATE_PR="","",TITLE_DATE_PR),TITLE_DATE_PR_CHANGE)</f>
        <v>45649.605891203704</v>
      </c>
      <c r="W28" s="5461"/>
      <c r="X28" s="5461"/>
      <c r="Y28" s="5461"/>
      <c r="Z28" s="5461"/>
      <c r="AA28" s="5461"/>
      <c r="AB28" s="264"/>
      <c r="AC28" s="5461">
        <f>IF(TITLE_DATE_PR_CHANGE="",IF(TITLE_DATE_PR="","",TITLE_DATE_PR),TITLE_DATE_PR_CHANGE)</f>
        <v>45649.605891203704</v>
      </c>
      <c r="AD28" s="5461"/>
      <c r="AE28" s="5461"/>
      <c r="AF28" s="5461"/>
      <c r="AG28" s="5461"/>
      <c r="AH28" s="5461"/>
      <c r="AI28" s="264"/>
      <c r="AJ28" s="5461">
        <f>IF(TITLE_DATE_PR_CHANGE="",IF(TITLE_DATE_PR="","",TITLE_DATE_PR),TITLE_DATE_PR_CHANGE)</f>
        <v>45649.605891203704</v>
      </c>
      <c r="AK28" s="5461"/>
      <c r="AL28" s="5461"/>
      <c r="AM28" s="5461"/>
      <c r="AN28" s="5461"/>
      <c r="AO28" s="5461"/>
      <c r="AP28" s="2054"/>
      <c r="AQ28" s="5461">
        <f>IF(TITLE_DATE_PR_CHANGE="",IF(TITLE_DATE_PR="","",TITLE_DATE_PR),TITLE_DATE_PR_CHANGE)</f>
        <v>45649.605891203704</v>
      </c>
      <c r="AR28" s="5461"/>
      <c r="AS28" s="5461"/>
      <c r="AT28" s="5461"/>
      <c r="AU28" s="5461"/>
      <c r="AV28" s="5461"/>
      <c r="AW28" s="2054"/>
      <c r="AX28" s="5461">
        <f>IF(TITLE_DATE_PR_CHANGE="",IF(TITLE_DATE_PR="","",TITLE_DATE_PR),TITLE_DATE_PR_CHANGE)</f>
        <v>45649.605891203704</v>
      </c>
      <c r="AY28" s="5461"/>
      <c r="AZ28" s="5461"/>
      <c r="BA28" s="5461"/>
      <c r="BB28" s="5461"/>
      <c r="BC28" s="5461"/>
      <c r="BD28" s="2054"/>
      <c r="BE28" s="264"/>
      <c r="BF28" s="218"/>
      <c r="BG28" s="306"/>
      <c r="BH28" s="306"/>
      <c r="BI28" s="306"/>
      <c r="BJ28" s="306"/>
      <c r="BK28" s="306"/>
      <c r="BL28" s="356">
        <v>0</v>
      </c>
    </row>
    <row r="29" spans="1:64" s="4284" customFormat="1" ht="18.75" hidden="1" customHeight="1">
      <c r="A29" s="1289"/>
      <c r="B29" s="1289"/>
      <c r="C29" s="1289"/>
      <c r="D29" s="1289"/>
      <c r="E29" s="1289"/>
      <c r="F29" s="1289"/>
      <c r="G29" s="1289"/>
      <c r="H29" s="1289"/>
      <c r="I29" s="1289"/>
      <c r="J29" s="1289"/>
      <c r="K29" s="1289"/>
      <c r="L29" s="1290"/>
      <c r="M29" s="1289"/>
      <c r="N29" s="1289"/>
      <c r="O29" s="1289"/>
      <c r="S29" s="5460" t="s">
        <v>515</v>
      </c>
      <c r="T29" s="5460"/>
      <c r="U29" s="1293"/>
      <c r="V29" s="5462" t="str">
        <f>IF(TITLE_NUMBER_PR_CHANGE="",IF(TITLE_NUMBER_PR="","",TITLE_NUMBER_PR),TITLE_NUMBER_PR_CHANGE)</f>
        <v>27-6414</v>
      </c>
      <c r="W29" s="5462"/>
      <c r="X29" s="5462"/>
      <c r="Y29" s="5462"/>
      <c r="Z29" s="5462"/>
      <c r="AA29" s="5462"/>
      <c r="AB29" s="264"/>
      <c r="AC29" s="5462" t="str">
        <f>IF(TITLE_NUMBER_PR_CHANGE="",IF(TITLE_NUMBER_PR="","",TITLE_NUMBER_PR),TITLE_NUMBER_PR_CHANGE)</f>
        <v>27-6414</v>
      </c>
      <c r="AD29" s="5462"/>
      <c r="AE29" s="5462"/>
      <c r="AF29" s="5462"/>
      <c r="AG29" s="5462"/>
      <c r="AH29" s="5462"/>
      <c r="AI29" s="264"/>
      <c r="AJ29" s="5462" t="str">
        <f>IF(TITLE_NUMBER_PR_CHANGE="",IF(TITLE_NUMBER_PR="","",TITLE_NUMBER_PR),TITLE_NUMBER_PR_CHANGE)</f>
        <v>27-6414</v>
      </c>
      <c r="AK29" s="5462"/>
      <c r="AL29" s="5462"/>
      <c r="AM29" s="5462"/>
      <c r="AN29" s="5462"/>
      <c r="AO29" s="5462"/>
      <c r="AP29" s="2054"/>
      <c r="AQ29" s="5462" t="str">
        <f>IF(TITLE_NUMBER_PR_CHANGE="",IF(TITLE_NUMBER_PR="","",TITLE_NUMBER_PR),TITLE_NUMBER_PR_CHANGE)</f>
        <v>27-6414</v>
      </c>
      <c r="AR29" s="5462"/>
      <c r="AS29" s="5462"/>
      <c r="AT29" s="5462"/>
      <c r="AU29" s="5462"/>
      <c r="AV29" s="5462"/>
      <c r="AW29" s="2054"/>
      <c r="AX29" s="5462" t="str">
        <f>IF(TITLE_NUMBER_PR_CHANGE="",IF(TITLE_NUMBER_PR="","",TITLE_NUMBER_PR),TITLE_NUMBER_PR_CHANGE)</f>
        <v>27-6414</v>
      </c>
      <c r="AY29" s="5462"/>
      <c r="AZ29" s="5462"/>
      <c r="BA29" s="5462"/>
      <c r="BB29" s="5462"/>
      <c r="BC29" s="5462"/>
      <c r="BD29" s="2054"/>
      <c r="BE29" s="264"/>
      <c r="BF29" s="218"/>
      <c r="BG29" s="306"/>
      <c r="BH29" s="306"/>
      <c r="BI29" s="306"/>
      <c r="BJ29" s="306"/>
      <c r="BK29" s="306"/>
      <c r="BL29" s="356">
        <v>0</v>
      </c>
    </row>
    <row r="30" spans="1:64" s="4284" customFormat="1" ht="18.75" hidden="1" customHeight="1">
      <c r="A30" s="1289"/>
      <c r="B30" s="1289"/>
      <c r="C30" s="1289"/>
      <c r="D30" s="1289"/>
      <c r="E30" s="1289"/>
      <c r="F30" s="1289"/>
      <c r="G30" s="1289"/>
      <c r="H30" s="1289"/>
      <c r="I30" s="1289"/>
      <c r="J30" s="1289"/>
      <c r="K30" s="1289"/>
      <c r="L30" s="1290"/>
      <c r="M30" s="1289"/>
      <c r="N30" s="1289"/>
      <c r="O30" s="1289"/>
      <c r="S30" s="5460" t="s">
        <v>43</v>
      </c>
      <c r="T30" s="5460"/>
      <c r="U30" s="1293"/>
      <c r="V30" s="5462" t="str">
        <f>IF(TITLE_IST_PUB_CHANGE="",IF(TITLE_IST_PUB="","",TITLE_IST_PUB),TITLE_IST_PUB_CHANGE)</f>
        <v/>
      </c>
      <c r="W30" s="5462"/>
      <c r="X30" s="5462"/>
      <c r="Y30" s="5462"/>
      <c r="Z30" s="5462"/>
      <c r="AA30" s="5462"/>
      <c r="AB30" s="264"/>
      <c r="AC30" s="5462" t="str">
        <f>IF(TITLE_IST_PUB_CHANGE="",IF(TITLE_IST_PUB="","",TITLE_IST_PUB),TITLE_IST_PUB_CHANGE)</f>
        <v/>
      </c>
      <c r="AD30" s="5462"/>
      <c r="AE30" s="5462"/>
      <c r="AF30" s="5462"/>
      <c r="AG30" s="5462"/>
      <c r="AH30" s="5462"/>
      <c r="AI30" s="264"/>
      <c r="AJ30" s="5462" t="str">
        <f>IF(TITLE_IST_PUB_CHANGE="",IF(TITLE_IST_PUB="","",TITLE_IST_PUB),TITLE_IST_PUB_CHANGE)</f>
        <v/>
      </c>
      <c r="AK30" s="5462"/>
      <c r="AL30" s="5462"/>
      <c r="AM30" s="5462"/>
      <c r="AN30" s="5462"/>
      <c r="AO30" s="5462"/>
      <c r="AP30" s="2054"/>
      <c r="AQ30" s="5462" t="str">
        <f>IF(TITLE_IST_PUB_CHANGE="",IF(TITLE_IST_PUB="","",TITLE_IST_PUB),TITLE_IST_PUB_CHANGE)</f>
        <v/>
      </c>
      <c r="AR30" s="5462"/>
      <c r="AS30" s="5462"/>
      <c r="AT30" s="5462"/>
      <c r="AU30" s="5462"/>
      <c r="AV30" s="5462"/>
      <c r="AW30" s="2054"/>
      <c r="AX30" s="5462" t="str">
        <f>IF(TITLE_IST_PUB_CHANGE="",IF(TITLE_IST_PUB="","",TITLE_IST_PUB),TITLE_IST_PUB_CHANGE)</f>
        <v/>
      </c>
      <c r="AY30" s="5462"/>
      <c r="AZ30" s="5462"/>
      <c r="BA30" s="5462"/>
      <c r="BB30" s="5462"/>
      <c r="BC30" s="5462"/>
      <c r="BD30" s="2054"/>
      <c r="BE30" s="264"/>
      <c r="BF30" s="218"/>
      <c r="BG30" s="306"/>
      <c r="BH30" s="306"/>
      <c r="BI30" s="306"/>
      <c r="BJ30" s="306"/>
      <c r="BK30" s="306"/>
      <c r="BL30" s="356">
        <v>0</v>
      </c>
    </row>
    <row r="31" spans="1:64" ht="14.25" customHeight="1">
      <c r="Q31" s="314"/>
      <c r="R31" s="314"/>
      <c r="S31" s="1196"/>
      <c r="T31" s="301"/>
      <c r="U31" s="301"/>
      <c r="V31" s="260"/>
      <c r="W31" s="260"/>
      <c r="X31" s="260"/>
      <c r="Y31" s="260"/>
      <c r="Z31" s="260"/>
      <c r="AA31" s="260"/>
      <c r="AB31" s="260"/>
      <c r="AC31" s="260"/>
      <c r="AD31" s="260"/>
      <c r="AE31" s="260"/>
      <c r="AF31" s="260"/>
      <c r="AG31" s="260"/>
      <c r="AH31" s="260"/>
      <c r="AI31" s="260"/>
      <c r="AJ31" s="2128"/>
      <c r="AK31" s="2128"/>
      <c r="AL31" s="2128"/>
      <c r="AM31" s="2128"/>
      <c r="AN31" s="2128"/>
      <c r="AO31" s="2128"/>
      <c r="AP31" s="2128"/>
      <c r="AQ31" s="2128"/>
      <c r="AR31" s="2128"/>
      <c r="AS31" s="2128"/>
      <c r="AT31" s="2128"/>
      <c r="AU31" s="2128"/>
      <c r="AV31" s="2128"/>
      <c r="AW31" s="2128"/>
      <c r="AX31" s="2128"/>
      <c r="AY31" s="2128"/>
      <c r="AZ31" s="2128"/>
      <c r="BA31" s="2128"/>
      <c r="BB31" s="2128"/>
      <c r="BC31" s="2128"/>
      <c r="BD31" s="2128"/>
      <c r="BE31" s="447"/>
      <c r="BL31" s="1076">
        <v>0</v>
      </c>
    </row>
    <row r="32" spans="1:64" s="4284" customFormat="1" ht="18.75" customHeight="1">
      <c r="A32" s="1289"/>
      <c r="B32" s="1289"/>
      <c r="C32" s="1289"/>
      <c r="D32" s="1289"/>
      <c r="E32" s="1289"/>
      <c r="F32" s="1289"/>
      <c r="G32" s="1289"/>
      <c r="H32" s="1289"/>
      <c r="I32" s="1289"/>
      <c r="J32" s="1289"/>
      <c r="K32" s="1289"/>
      <c r="L32" s="1290"/>
      <c r="M32" s="1289"/>
      <c r="N32" s="1289"/>
      <c r="O32" s="1289"/>
      <c r="S32" s="5460" t="s">
        <v>516</v>
      </c>
      <c r="T32" s="5460"/>
      <c r="U32" s="1293"/>
      <c r="V32" s="5461">
        <f>IF(TITLE_DATE_PR_CHANGE="",IF(TITLE_DATE_PR="","",TITLE_DATE_PR),TITLE_DATE_PR_CHANGE)</f>
        <v>45649.605891203704</v>
      </c>
      <c r="W32" s="5461"/>
      <c r="X32" s="5461"/>
      <c r="Y32" s="5461"/>
      <c r="Z32" s="5461"/>
      <c r="AA32" s="5461"/>
      <c r="AB32" s="264"/>
      <c r="AC32" s="5461">
        <f>IF(TITLE_DATE_PR_CHANGE="",IF(TITLE_DATE_PR="","",TITLE_DATE_PR),TITLE_DATE_PR_CHANGE)</f>
        <v>45649.605891203704</v>
      </c>
      <c r="AD32" s="5461"/>
      <c r="AE32" s="5461"/>
      <c r="AF32" s="5461"/>
      <c r="AG32" s="5461"/>
      <c r="AH32" s="5461"/>
      <c r="AI32" s="264"/>
      <c r="AJ32" s="5461">
        <f>IF(TITLE_DATE_PR_CHANGE="",IF(TITLE_DATE_PR="","",TITLE_DATE_PR),TITLE_DATE_PR_CHANGE)</f>
        <v>45649.605891203704</v>
      </c>
      <c r="AK32" s="5461"/>
      <c r="AL32" s="5461"/>
      <c r="AM32" s="5461"/>
      <c r="AN32" s="5461"/>
      <c r="AO32" s="5461"/>
      <c r="AP32" s="2054"/>
      <c r="AQ32" s="5461">
        <f>IF(TITLE_DATE_PR_CHANGE="",IF(TITLE_DATE_PR="","",TITLE_DATE_PR),TITLE_DATE_PR_CHANGE)</f>
        <v>45649.605891203704</v>
      </c>
      <c r="AR32" s="5461"/>
      <c r="AS32" s="5461"/>
      <c r="AT32" s="5461"/>
      <c r="AU32" s="5461"/>
      <c r="AV32" s="5461"/>
      <c r="AW32" s="2054"/>
      <c r="AX32" s="5461">
        <f>IF(TITLE_DATE_PR_CHANGE="",IF(TITLE_DATE_PR="","",TITLE_DATE_PR),TITLE_DATE_PR_CHANGE)</f>
        <v>45649.605891203704</v>
      </c>
      <c r="AY32" s="5461"/>
      <c r="AZ32" s="5461"/>
      <c r="BA32" s="5461"/>
      <c r="BB32" s="5461"/>
      <c r="BC32" s="5461"/>
      <c r="BD32" s="2054"/>
      <c r="BE32" s="264"/>
      <c r="BF32" s="218"/>
      <c r="BG32" s="306"/>
      <c r="BH32" s="306"/>
      <c r="BI32" s="306"/>
      <c r="BJ32" s="306"/>
      <c r="BK32" s="306"/>
      <c r="BL32" s="356">
        <v>0</v>
      </c>
    </row>
    <row r="33" spans="1:64" s="4284" customFormat="1" ht="18.75" customHeight="1">
      <c r="A33" s="1289"/>
      <c r="B33" s="1289"/>
      <c r="C33" s="1289"/>
      <c r="D33" s="1289"/>
      <c r="E33" s="1289"/>
      <c r="F33" s="1289"/>
      <c r="G33" s="1289"/>
      <c r="H33" s="1289"/>
      <c r="I33" s="1289"/>
      <c r="J33" s="1289"/>
      <c r="K33" s="1289"/>
      <c r="L33" s="1290"/>
      <c r="M33" s="1289"/>
      <c r="N33" s="1289"/>
      <c r="O33" s="1289"/>
      <c r="S33" s="5460" t="s">
        <v>517</v>
      </c>
      <c r="T33" s="5460"/>
      <c r="U33" s="1293"/>
      <c r="V33" s="5462" t="str">
        <f>IF(TITLE_NUMBER_PR_CHANGE="",IF(TITLE_NUMBER_PR="","",TITLE_NUMBER_PR),TITLE_NUMBER_PR_CHANGE)</f>
        <v>27-6414</v>
      </c>
      <c r="W33" s="5462"/>
      <c r="X33" s="5462"/>
      <c r="Y33" s="5462"/>
      <c r="Z33" s="5462"/>
      <c r="AA33" s="5462"/>
      <c r="AB33" s="264"/>
      <c r="AC33" s="5462" t="str">
        <f>IF(TITLE_NUMBER_PR_CHANGE="",IF(TITLE_NUMBER_PR="","",TITLE_NUMBER_PR),TITLE_NUMBER_PR_CHANGE)</f>
        <v>27-6414</v>
      </c>
      <c r="AD33" s="5462"/>
      <c r="AE33" s="5462"/>
      <c r="AF33" s="5462"/>
      <c r="AG33" s="5462"/>
      <c r="AH33" s="5462"/>
      <c r="AI33" s="264"/>
      <c r="AJ33" s="5462" t="str">
        <f>IF(TITLE_NUMBER_PR_CHANGE="",IF(TITLE_NUMBER_PR="","",TITLE_NUMBER_PR),TITLE_NUMBER_PR_CHANGE)</f>
        <v>27-6414</v>
      </c>
      <c r="AK33" s="5462"/>
      <c r="AL33" s="5462"/>
      <c r="AM33" s="5462"/>
      <c r="AN33" s="5462"/>
      <c r="AO33" s="5462"/>
      <c r="AP33" s="2054"/>
      <c r="AQ33" s="5462" t="str">
        <f>IF(TITLE_NUMBER_PR_CHANGE="",IF(TITLE_NUMBER_PR="","",TITLE_NUMBER_PR),TITLE_NUMBER_PR_CHANGE)</f>
        <v>27-6414</v>
      </c>
      <c r="AR33" s="5462"/>
      <c r="AS33" s="5462"/>
      <c r="AT33" s="5462"/>
      <c r="AU33" s="5462"/>
      <c r="AV33" s="5462"/>
      <c r="AW33" s="2054"/>
      <c r="AX33" s="5462" t="str">
        <f>IF(TITLE_NUMBER_PR_CHANGE="",IF(TITLE_NUMBER_PR="","",TITLE_NUMBER_PR),TITLE_NUMBER_PR_CHANGE)</f>
        <v>27-6414</v>
      </c>
      <c r="AY33" s="5462"/>
      <c r="AZ33" s="5462"/>
      <c r="BA33" s="5462"/>
      <c r="BB33" s="5462"/>
      <c r="BC33" s="5462"/>
      <c r="BD33" s="2054"/>
      <c r="BE33" s="264"/>
      <c r="BF33" s="218"/>
      <c r="BG33" s="306"/>
      <c r="BH33" s="306"/>
      <c r="BI33" s="306"/>
      <c r="BJ33" s="306"/>
      <c r="BK33" s="306"/>
      <c r="BL33" s="356">
        <v>0</v>
      </c>
    </row>
    <row r="34" spans="1:64" s="4284" customFormat="1" ht="1.1499999999999999" customHeight="1">
      <c r="A34" s="1289"/>
      <c r="B34" s="1289"/>
      <c r="C34" s="1289"/>
      <c r="D34" s="1289"/>
      <c r="E34" s="1289"/>
      <c r="F34" s="1289"/>
      <c r="G34" s="1289"/>
      <c r="H34" s="1289"/>
      <c r="I34" s="1289"/>
      <c r="J34" s="1289"/>
      <c r="K34" s="1289"/>
      <c r="L34" s="1290"/>
      <c r="M34" s="1289"/>
      <c r="N34" s="1289"/>
      <c r="O34" s="1289"/>
      <c r="S34" s="261"/>
      <c r="T34" s="261"/>
      <c r="U34" s="1409"/>
      <c r="V34" s="264"/>
      <c r="W34" s="264"/>
      <c r="X34" s="264"/>
      <c r="Y34" s="264"/>
      <c r="Z34" s="264"/>
      <c r="AA34" s="264"/>
      <c r="AB34" s="216" t="s">
        <v>518</v>
      </c>
      <c r="AC34" s="264"/>
      <c r="AD34" s="264"/>
      <c r="AE34" s="264"/>
      <c r="AF34" s="264"/>
      <c r="AG34" s="264"/>
      <c r="AH34" s="264"/>
      <c r="AI34" s="216" t="s">
        <v>518</v>
      </c>
      <c r="AJ34" s="2054"/>
      <c r="AK34" s="2054"/>
      <c r="AL34" s="2054"/>
      <c r="AM34" s="2054"/>
      <c r="AN34" s="2054"/>
      <c r="AO34" s="2054"/>
      <c r="AP34" s="2129" t="s">
        <v>518</v>
      </c>
      <c r="AQ34" s="2054"/>
      <c r="AR34" s="2054"/>
      <c r="AS34" s="2054"/>
      <c r="AT34" s="2054"/>
      <c r="AU34" s="2054"/>
      <c r="AV34" s="2054"/>
      <c r="AW34" s="2129" t="s">
        <v>518</v>
      </c>
      <c r="AX34" s="2054"/>
      <c r="AY34" s="2054"/>
      <c r="AZ34" s="2054"/>
      <c r="BA34" s="2054"/>
      <c r="BB34" s="2054"/>
      <c r="BC34" s="2054"/>
      <c r="BD34" s="2129" t="s">
        <v>518</v>
      </c>
      <c r="BG34" s="306"/>
      <c r="BH34" s="306"/>
      <c r="BI34" s="306"/>
      <c r="BJ34" s="306"/>
      <c r="BK34" s="306"/>
      <c r="BL34" s="356">
        <v>1</v>
      </c>
    </row>
    <row r="35" spans="1:64" ht="14.65" customHeight="1">
      <c r="Q35" s="314"/>
      <c r="R35" s="314"/>
      <c r="S35" s="1196"/>
      <c r="T35" s="301"/>
      <c r="U35" s="1165"/>
      <c r="V35" s="5481"/>
      <c r="W35" s="5481"/>
      <c r="X35" s="5481"/>
      <c r="Y35" s="5481"/>
      <c r="Z35" s="5481"/>
      <c r="AA35" s="5481"/>
      <c r="AB35" s="5481"/>
      <c r="AC35" s="5481"/>
      <c r="AD35" s="5481"/>
      <c r="AE35" s="5481"/>
      <c r="AF35" s="5481"/>
      <c r="AG35" s="5481"/>
      <c r="AH35" s="5481"/>
      <c r="AI35" s="5481"/>
      <c r="AJ35" s="5481" t="s">
        <v>104</v>
      </c>
      <c r="AK35" s="5481"/>
      <c r="AL35" s="5481"/>
      <c r="AM35" s="5481"/>
      <c r="AN35" s="5481"/>
      <c r="AO35" s="5481"/>
      <c r="AP35" s="5481"/>
      <c r="AQ35" s="5481" t="s">
        <v>104</v>
      </c>
      <c r="AR35" s="5481"/>
      <c r="AS35" s="5481"/>
      <c r="AT35" s="5481"/>
      <c r="AU35" s="5481"/>
      <c r="AV35" s="5481"/>
      <c r="AW35" s="5481"/>
      <c r="AX35" s="5481" t="s">
        <v>104</v>
      </c>
      <c r="AY35" s="5481"/>
      <c r="AZ35" s="5481"/>
      <c r="BA35" s="5481"/>
      <c r="BB35" s="5481"/>
      <c r="BC35" s="5481"/>
      <c r="BD35" s="5481"/>
      <c r="BL35" s="1076">
        <v>14</v>
      </c>
    </row>
    <row r="36" spans="1:64" ht="0" hidden="1" customHeight="1">
      <c r="Q36" s="314"/>
      <c r="R36" s="314"/>
      <c r="S36" s="5328" t="s">
        <v>393</v>
      </c>
      <c r="T36" s="5328"/>
      <c r="U36" s="5328"/>
      <c r="V36" s="5328"/>
      <c r="W36" s="5328"/>
      <c r="X36" s="5328"/>
      <c r="Y36" s="5328"/>
      <c r="Z36" s="5328"/>
      <c r="AA36" s="5328"/>
      <c r="AB36" s="5328"/>
      <c r="AC36" s="5328"/>
      <c r="AD36" s="5328"/>
      <c r="AE36" s="5328"/>
      <c r="AF36" s="5328"/>
      <c r="AG36" s="5328"/>
      <c r="AH36" s="5328"/>
      <c r="AI36" s="5328"/>
      <c r="AJ36" s="5328" t="s">
        <v>393</v>
      </c>
      <c r="AK36" s="5328"/>
      <c r="AL36" s="5328"/>
      <c r="AM36" s="5328"/>
      <c r="AN36" s="5328"/>
      <c r="AO36" s="5328"/>
      <c r="AP36" s="5328"/>
      <c r="AQ36" s="5328" t="s">
        <v>393</v>
      </c>
      <c r="AR36" s="5328"/>
      <c r="AS36" s="5328"/>
      <c r="AT36" s="5328"/>
      <c r="AU36" s="5328"/>
      <c r="AV36" s="5328"/>
      <c r="AW36" s="5328"/>
      <c r="AX36" s="5328" t="s">
        <v>393</v>
      </c>
      <c r="AY36" s="5328"/>
      <c r="AZ36" s="5328"/>
      <c r="BA36" s="5328"/>
      <c r="BB36" s="5328"/>
      <c r="BC36" s="5328"/>
      <c r="BD36" s="5328"/>
      <c r="BE36" s="5328"/>
      <c r="BF36" s="5328"/>
      <c r="BL36" s="1076"/>
    </row>
    <row r="37" spans="1:64" ht="14.65" customHeight="1">
      <c r="Q37" s="314"/>
      <c r="R37" s="314"/>
      <c r="S37" s="5482" t="s">
        <v>88</v>
      </c>
      <c r="T37" s="5431" t="s">
        <v>519</v>
      </c>
      <c r="U37" s="239"/>
      <c r="V37" s="5483" t="s">
        <v>520</v>
      </c>
      <c r="W37" s="5484"/>
      <c r="X37" s="5484"/>
      <c r="Y37" s="5484"/>
      <c r="Z37" s="5484"/>
      <c r="AA37" s="5485"/>
      <c r="AB37" s="5486" t="s">
        <v>521</v>
      </c>
      <c r="AC37" s="5483" t="s">
        <v>520</v>
      </c>
      <c r="AD37" s="5484"/>
      <c r="AE37" s="5484"/>
      <c r="AF37" s="5484"/>
      <c r="AG37" s="5484"/>
      <c r="AH37" s="5485"/>
      <c r="AI37" s="5486" t="s">
        <v>522</v>
      </c>
      <c r="AJ37" s="5483" t="s">
        <v>520</v>
      </c>
      <c r="AK37" s="5484"/>
      <c r="AL37" s="5484"/>
      <c r="AM37" s="5484"/>
      <c r="AN37" s="5484"/>
      <c r="AO37" s="5485"/>
      <c r="AP37" s="5486" t="s">
        <v>521</v>
      </c>
      <c r="AQ37" s="5483" t="s">
        <v>520</v>
      </c>
      <c r="AR37" s="5484"/>
      <c r="AS37" s="5484"/>
      <c r="AT37" s="5484"/>
      <c r="AU37" s="5484"/>
      <c r="AV37" s="5485"/>
      <c r="AW37" s="5486" t="s">
        <v>521</v>
      </c>
      <c r="AX37" s="5483" t="s">
        <v>520</v>
      </c>
      <c r="AY37" s="5484"/>
      <c r="AZ37" s="5484"/>
      <c r="BA37" s="5484"/>
      <c r="BB37" s="5484"/>
      <c r="BC37" s="5485"/>
      <c r="BD37" s="5486" t="s">
        <v>521</v>
      </c>
      <c r="BE37" s="5489" t="s">
        <v>523</v>
      </c>
      <c r="BF37" s="5328"/>
      <c r="BL37" s="1076">
        <v>14</v>
      </c>
    </row>
    <row r="38" spans="1:64" ht="23.45" customHeight="1">
      <c r="Q38" s="314"/>
      <c r="R38" s="314"/>
      <c r="S38" s="5482"/>
      <c r="T38" s="5431"/>
      <c r="U38" s="956"/>
      <c r="V38" s="1404" t="s">
        <v>579</v>
      </c>
      <c r="W38" s="5309" t="s">
        <v>526</v>
      </c>
      <c r="X38" s="5308"/>
      <c r="Y38" s="5309" t="s">
        <v>527</v>
      </c>
      <c r="Z38" s="5314"/>
      <c r="AA38" s="5308"/>
      <c r="AB38" s="5487"/>
      <c r="AC38" s="1404" t="s">
        <v>579</v>
      </c>
      <c r="AD38" s="5309" t="s">
        <v>526</v>
      </c>
      <c r="AE38" s="5308"/>
      <c r="AF38" s="5309" t="s">
        <v>527</v>
      </c>
      <c r="AG38" s="5314"/>
      <c r="AH38" s="5308"/>
      <c r="AI38" s="5487"/>
      <c r="AJ38" s="2130" t="s">
        <v>579</v>
      </c>
      <c r="AK38" s="5309" t="s">
        <v>526</v>
      </c>
      <c r="AL38" s="5308"/>
      <c r="AM38" s="5309" t="s">
        <v>527</v>
      </c>
      <c r="AN38" s="5314"/>
      <c r="AO38" s="5308"/>
      <c r="AP38" s="5487"/>
      <c r="AQ38" s="2130" t="s">
        <v>579</v>
      </c>
      <c r="AR38" s="5309" t="s">
        <v>526</v>
      </c>
      <c r="AS38" s="5308"/>
      <c r="AT38" s="5309" t="s">
        <v>527</v>
      </c>
      <c r="AU38" s="5314"/>
      <c r="AV38" s="5308"/>
      <c r="AW38" s="5487"/>
      <c r="AX38" s="2130" t="s">
        <v>579</v>
      </c>
      <c r="AY38" s="5309" t="s">
        <v>526</v>
      </c>
      <c r="AZ38" s="5308"/>
      <c r="BA38" s="5309" t="s">
        <v>527</v>
      </c>
      <c r="BB38" s="5314"/>
      <c r="BC38" s="5308"/>
      <c r="BD38" s="5487"/>
      <c r="BE38" s="5490"/>
      <c r="BF38" s="5328"/>
      <c r="BL38" s="1076">
        <v>34</v>
      </c>
    </row>
    <row r="39" spans="1:64" ht="25.15" customHeight="1">
      <c r="A39" s="1291"/>
      <c r="B39" s="1291" t="s">
        <v>167</v>
      </c>
      <c r="C39" s="1291" t="s">
        <v>168</v>
      </c>
      <c r="D39" s="1291" t="s">
        <v>169</v>
      </c>
      <c r="E39" s="1285" t="s">
        <v>528</v>
      </c>
      <c r="F39" s="1285" t="s">
        <v>529</v>
      </c>
      <c r="G39" s="1285" t="s">
        <v>530</v>
      </c>
      <c r="H39" s="1285"/>
      <c r="I39" s="1285" t="s">
        <v>580</v>
      </c>
      <c r="J39" s="1285" t="s">
        <v>533</v>
      </c>
      <c r="K39" s="1285" t="s">
        <v>581</v>
      </c>
      <c r="L39" s="1285" t="s">
        <v>509</v>
      </c>
      <c r="Q39" s="314"/>
      <c r="R39" s="314"/>
      <c r="S39" s="5482"/>
      <c r="T39" s="5431"/>
      <c r="U39" s="240"/>
      <c r="V39" s="1404" t="s">
        <v>608</v>
      </c>
      <c r="W39" s="1143" t="s">
        <v>609</v>
      </c>
      <c r="X39" s="1143" t="s">
        <v>584</v>
      </c>
      <c r="Y39" s="1410" t="s">
        <v>537</v>
      </c>
      <c r="Z39" s="5436" t="s">
        <v>538</v>
      </c>
      <c r="AA39" s="5449"/>
      <c r="AB39" s="5488"/>
      <c r="AC39" s="1404" t="s">
        <v>608</v>
      </c>
      <c r="AD39" s="1143" t="s">
        <v>609</v>
      </c>
      <c r="AE39" s="1143" t="s">
        <v>584</v>
      </c>
      <c r="AF39" s="1410" t="s">
        <v>537</v>
      </c>
      <c r="AG39" s="5436" t="s">
        <v>538</v>
      </c>
      <c r="AH39" s="5449"/>
      <c r="AI39" s="5488"/>
      <c r="AJ39" s="2130" t="s">
        <v>608</v>
      </c>
      <c r="AK39" s="2131" t="s">
        <v>609</v>
      </c>
      <c r="AL39" s="2131" t="s">
        <v>584</v>
      </c>
      <c r="AM39" s="2131" t="s">
        <v>537</v>
      </c>
      <c r="AN39" s="5436" t="s">
        <v>538</v>
      </c>
      <c r="AO39" s="5449"/>
      <c r="AP39" s="5488"/>
      <c r="AQ39" s="2130" t="s">
        <v>608</v>
      </c>
      <c r="AR39" s="2131" t="s">
        <v>609</v>
      </c>
      <c r="AS39" s="2131" t="s">
        <v>584</v>
      </c>
      <c r="AT39" s="2131" t="s">
        <v>537</v>
      </c>
      <c r="AU39" s="5436" t="s">
        <v>538</v>
      </c>
      <c r="AV39" s="5449"/>
      <c r="AW39" s="5488"/>
      <c r="AX39" s="2130" t="s">
        <v>608</v>
      </c>
      <c r="AY39" s="2131" t="s">
        <v>609</v>
      </c>
      <c r="AZ39" s="2131" t="s">
        <v>584</v>
      </c>
      <c r="BA39" s="2131" t="s">
        <v>537</v>
      </c>
      <c r="BB39" s="5436" t="s">
        <v>538</v>
      </c>
      <c r="BC39" s="5449"/>
      <c r="BD39" s="5488"/>
      <c r="BE39" s="5491"/>
      <c r="BF39" s="5328"/>
      <c r="BL39" s="1076">
        <v>86</v>
      </c>
    </row>
    <row r="40" spans="1:64" s="4299" customFormat="1" ht="11.25" hidden="1" customHeight="1">
      <c r="A40" s="1291"/>
      <c r="B40" s="1291"/>
      <c r="C40" s="1291"/>
      <c r="D40" s="1291"/>
      <c r="E40" s="1291"/>
      <c r="F40" s="1291"/>
      <c r="G40" s="1291"/>
      <c r="H40" s="1291"/>
      <c r="I40" s="1291"/>
      <c r="J40" s="1291"/>
      <c r="K40" s="1291"/>
      <c r="L40" s="1285"/>
      <c r="M40" s="1283"/>
      <c r="N40" s="1283"/>
      <c r="O40" s="1283"/>
      <c r="P40" s="1167"/>
      <c r="Q40" s="1168"/>
      <c r="R40" s="1175">
        <v>1</v>
      </c>
      <c r="S40" s="1198" t="s">
        <v>136</v>
      </c>
      <c r="T40" s="1176" t="s">
        <v>103</v>
      </c>
      <c r="U40" s="1166" t="str">
        <f ca="1">OFFSET(U40,0,-1)</f>
        <v>2</v>
      </c>
      <c r="V40" s="1403">
        <f ca="1">OFFSET(V40,0,-1)+1</f>
        <v>3</v>
      </c>
      <c r="W40" s="1403">
        <f ca="1">OFFSET(W40,0,-1)+1</f>
        <v>4</v>
      </c>
      <c r="X40" s="1403">
        <f ca="1">OFFSET(X40,0,-1)+1</f>
        <v>5</v>
      </c>
      <c r="Y40" s="1403">
        <f ca="1">OFFSET(Y40,0,-1)+1</f>
        <v>6</v>
      </c>
      <c r="Z40" s="5480">
        <f ca="1">OFFSET(Z40,0,-1)+1</f>
        <v>7</v>
      </c>
      <c r="AA40" s="5480"/>
      <c r="AB40" s="1403">
        <f ca="1">OFFSET(AB40,0,-2)+1</f>
        <v>8</v>
      </c>
      <c r="AC40" s="1403">
        <f ca="1">OFFSET(AC40,0,-1)+1</f>
        <v>9</v>
      </c>
      <c r="AD40" s="1403">
        <f ca="1">OFFSET(AD40,0,-1)+1</f>
        <v>10</v>
      </c>
      <c r="AE40" s="1403">
        <f ca="1">OFFSET(AE40,0,-1)+1</f>
        <v>11</v>
      </c>
      <c r="AF40" s="1403">
        <f ca="1">OFFSET(AF40,0,-1)+1</f>
        <v>12</v>
      </c>
      <c r="AG40" s="5480">
        <f ca="1">OFFSET(AG40,0,-1)+1</f>
        <v>13</v>
      </c>
      <c r="AH40" s="5480"/>
      <c r="AI40" s="1403">
        <f ca="1">OFFSET(AI40,0,-2)+1</f>
        <v>14</v>
      </c>
      <c r="AJ40" s="2133">
        <f ca="1">OFFSET(AJ40,0,-1)+1</f>
        <v>15</v>
      </c>
      <c r="AK40" s="2133">
        <f ca="1">OFFSET(AK40,0,-1)+1</f>
        <v>16</v>
      </c>
      <c r="AL40" s="2133">
        <f ca="1">OFFSET(AL40,0,-1)+1</f>
        <v>17</v>
      </c>
      <c r="AM40" s="2133">
        <f ca="1">OFFSET(AM40,0,-1)+1</f>
        <v>18</v>
      </c>
      <c r="AN40" s="5480">
        <f ca="1">OFFSET(AN40,0,-1)+1</f>
        <v>19</v>
      </c>
      <c r="AO40" s="5480"/>
      <c r="AP40" s="2133">
        <f ca="1">OFFSET(AP40,0,-2)+1</f>
        <v>20</v>
      </c>
      <c r="AQ40" s="2133">
        <f ca="1">OFFSET(AQ40,0,-1)+1</f>
        <v>21</v>
      </c>
      <c r="AR40" s="2133">
        <f ca="1">OFFSET(AR40,0,-1)+1</f>
        <v>22</v>
      </c>
      <c r="AS40" s="2133">
        <f ca="1">OFFSET(AS40,0,-1)+1</f>
        <v>23</v>
      </c>
      <c r="AT40" s="2133">
        <f ca="1">OFFSET(AT40,0,-1)+1</f>
        <v>24</v>
      </c>
      <c r="AU40" s="5480">
        <f ca="1">OFFSET(AU40,0,-1)+1</f>
        <v>25</v>
      </c>
      <c r="AV40" s="5480"/>
      <c r="AW40" s="2133">
        <f ca="1">OFFSET(AW40,0,-2)+1</f>
        <v>26</v>
      </c>
      <c r="AX40" s="2133">
        <f ca="1">OFFSET(AX40,0,-1)+1</f>
        <v>27</v>
      </c>
      <c r="AY40" s="2133">
        <f ca="1">OFFSET(AY40,0,-1)+1</f>
        <v>28</v>
      </c>
      <c r="AZ40" s="2133">
        <f ca="1">OFFSET(AZ40,0,-1)+1</f>
        <v>29</v>
      </c>
      <c r="BA40" s="2133">
        <f ca="1">OFFSET(BA40,0,-1)+1</f>
        <v>30</v>
      </c>
      <c r="BB40" s="5480">
        <f ca="1">OFFSET(BB40,0,-1)+1</f>
        <v>31</v>
      </c>
      <c r="BC40" s="5480"/>
      <c r="BD40" s="2133">
        <f ca="1">OFFSET(BD40,0,-2)+1</f>
        <v>32</v>
      </c>
      <c r="BE40" s="1166">
        <f ca="1">OFFSET(BE40,0,-1)</f>
        <v>32</v>
      </c>
      <c r="BF40" s="1403">
        <f ca="1">OFFSET(BF40,0,-1)+1</f>
        <v>33</v>
      </c>
      <c r="BG40" s="449"/>
      <c r="BH40" s="449"/>
      <c r="BI40" s="449"/>
      <c r="BJ40" s="449"/>
      <c r="BK40" s="449"/>
      <c r="BL40" s="434">
        <v>0</v>
      </c>
    </row>
    <row r="41" spans="1:64" ht="24" customHeight="1">
      <c r="A41" s="1284" t="s">
        <v>297</v>
      </c>
      <c r="B41" s="1284"/>
      <c r="C41" s="1284"/>
      <c r="D41" s="1284"/>
      <c r="E41" s="5469">
        <v>1</v>
      </c>
      <c r="F41" s="1284"/>
      <c r="G41" s="1284"/>
      <c r="H41" s="1284"/>
      <c r="I41" s="1284"/>
      <c r="J41" s="1284"/>
      <c r="K41" s="1284"/>
      <c r="L41" s="1285"/>
      <c r="M41" s="1286"/>
      <c r="N41" s="1286"/>
      <c r="O41" s="1286"/>
      <c r="P41" s="299"/>
      <c r="Q41" s="298"/>
      <c r="R41" s="293"/>
      <c r="S41" s="1414">
        <f>INDEX(PT_DIFFERENTIATION_NUM_NTAR,MATCH(A41,PT_DIFFERENTIATION_NTAR_ID,0))</f>
        <v>1</v>
      </c>
      <c r="T41" s="236" t="s">
        <v>155</v>
      </c>
      <c r="U41" s="238"/>
      <c r="V41" s="5463"/>
      <c r="W41" s="5464"/>
      <c r="X41" s="5464"/>
      <c r="Y41" s="5464"/>
      <c r="Z41" s="5464"/>
      <c r="AA41" s="5464"/>
      <c r="AB41" s="5465"/>
      <c r="AC41" s="5463" t="str">
        <f>INDEX(PT_DIFFERENTIATION_NTAR,MATCH(A41,PT_DIFFERENTIATION_NTAR_ID,0))</f>
        <v>Тариф на водоотведение</v>
      </c>
      <c r="AD41" s="5464"/>
      <c r="AE41" s="5464"/>
      <c r="AF41" s="5464"/>
      <c r="AG41" s="5464"/>
      <c r="AH41" s="5464"/>
      <c r="AI41" s="5464"/>
      <c r="AJ41" s="5463"/>
      <c r="AK41" s="5464"/>
      <c r="AL41" s="5464"/>
      <c r="AM41" s="5464"/>
      <c r="AN41" s="5464"/>
      <c r="AO41" s="5464"/>
      <c r="AP41" s="5465"/>
      <c r="AQ41" s="5463"/>
      <c r="AR41" s="5464"/>
      <c r="AS41" s="5464"/>
      <c r="AT41" s="5464"/>
      <c r="AU41" s="5464"/>
      <c r="AV41" s="5464"/>
      <c r="AW41" s="5465"/>
      <c r="AX41" s="5463"/>
      <c r="AY41" s="5464"/>
      <c r="AZ41" s="5464"/>
      <c r="BA41" s="5464"/>
      <c r="BB41" s="5464"/>
      <c r="BC41" s="5464"/>
      <c r="BD41" s="5465"/>
      <c r="BE41" s="5465"/>
      <c r="BF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41" s="438"/>
      <c r="BI41" s="438" t="str">
        <f t="shared" ref="BI41:BI104" si="1">IF(T41="","",T41)</f>
        <v>Наименование тарифа</v>
      </c>
      <c r="BJ41" s="438"/>
      <c r="BK41" s="438"/>
      <c r="BL41" s="1076">
        <v>23</v>
      </c>
    </row>
    <row r="42" spans="1:64" ht="24" customHeight="1">
      <c r="A42" s="1284" t="s">
        <v>297</v>
      </c>
      <c r="B42" s="1284" t="s">
        <v>298</v>
      </c>
      <c r="C42" s="1284"/>
      <c r="D42" s="1284"/>
      <c r="E42" s="5470"/>
      <c r="F42" s="5469">
        <v>1</v>
      </c>
      <c r="G42" s="1284"/>
      <c r="H42" s="1284"/>
      <c r="I42" s="1284"/>
      <c r="J42" s="1284"/>
      <c r="K42" s="1284"/>
      <c r="L42" s="1285"/>
      <c r="M42" s="1286"/>
      <c r="N42" s="1286"/>
      <c r="O42" s="1286"/>
      <c r="P42" s="1408"/>
      <c r="Q42" s="290"/>
      <c r="R42" s="291"/>
      <c r="S42" s="1414" t="str">
        <f>INDEX(PT_DIFFERENTIATION_NUM_TER,MATCH(B42,PT_DIFFERENTIATION_TER_ID,0))</f>
        <v>1.1</v>
      </c>
      <c r="T42" s="246" t="s">
        <v>490</v>
      </c>
      <c r="U42" s="238"/>
      <c r="V42" s="5463"/>
      <c r="W42" s="5464"/>
      <c r="X42" s="5464"/>
      <c r="Y42" s="5464"/>
      <c r="Z42" s="5464"/>
      <c r="AA42" s="5464"/>
      <c r="AB42" s="5465"/>
      <c r="AC42" s="5463" t="str">
        <f>INDEX(PT_DIFFERENTIATION_TER,MATCH(B42,PT_DIFFERENTIATION_TER_ID,0))</f>
        <v>Территория 1</v>
      </c>
      <c r="AD42" s="5464"/>
      <c r="AE42" s="5464"/>
      <c r="AF42" s="5464"/>
      <c r="AG42" s="5464"/>
      <c r="AH42" s="5464"/>
      <c r="AI42" s="5464"/>
      <c r="AJ42" s="5463"/>
      <c r="AK42" s="5464"/>
      <c r="AL42" s="5464"/>
      <c r="AM42" s="5464"/>
      <c r="AN42" s="5464"/>
      <c r="AO42" s="5464"/>
      <c r="AP42" s="5465"/>
      <c r="AQ42" s="5463"/>
      <c r="AR42" s="5464"/>
      <c r="AS42" s="5464"/>
      <c r="AT42" s="5464"/>
      <c r="AU42" s="5464"/>
      <c r="AV42" s="5464"/>
      <c r="AW42" s="5465"/>
      <c r="AX42" s="5463"/>
      <c r="AY42" s="5464"/>
      <c r="AZ42" s="5464"/>
      <c r="BA42" s="5464"/>
      <c r="BB42" s="5464"/>
      <c r="BC42" s="5464"/>
      <c r="BD42" s="5465"/>
      <c r="BE42" s="5465"/>
      <c r="BF42" s="1179" t="s">
        <v>491</v>
      </c>
      <c r="BH42" s="438"/>
      <c r="BI42" s="438" t="str">
        <f t="shared" si="1"/>
        <v>Территория действия тарифа</v>
      </c>
      <c r="BJ42" s="438"/>
      <c r="BK42" s="438"/>
      <c r="BL42" s="1076">
        <v>23</v>
      </c>
    </row>
    <row r="43" spans="1:64" ht="24" customHeight="1">
      <c r="A43" s="1284" t="s">
        <v>297</v>
      </c>
      <c r="B43" s="1284" t="s">
        <v>298</v>
      </c>
      <c r="C43" s="1284" t="s">
        <v>299</v>
      </c>
      <c r="D43" s="1284"/>
      <c r="E43" s="5470"/>
      <c r="F43" s="5470"/>
      <c r="G43" s="5469">
        <v>1</v>
      </c>
      <c r="H43" s="1284"/>
      <c r="I43" s="1284"/>
      <c r="J43" s="1284"/>
      <c r="K43" s="1284"/>
      <c r="L43" s="1285"/>
      <c r="M43" s="1286"/>
      <c r="N43" s="1286"/>
      <c r="O43" s="1286"/>
      <c r="P43" s="292"/>
      <c r="Q43" s="290"/>
      <c r="R43" s="291"/>
      <c r="S43" s="1414" t="str">
        <f>INDEX(PT_DIFFERENTIATION_NUM_CS,MATCH(C43,PT_DIFFERENTIATION_CS_ID,0))</f>
        <v>1.1.1</v>
      </c>
      <c r="T43" s="247" t="s">
        <v>606</v>
      </c>
      <c r="U43" s="238"/>
      <c r="V43" s="5463"/>
      <c r="W43" s="5464"/>
      <c r="X43" s="5464"/>
      <c r="Y43" s="5464"/>
      <c r="Z43" s="5464"/>
      <c r="AA43" s="5464"/>
      <c r="AB43" s="5465"/>
      <c r="AC43" s="5463" t="str">
        <f>INDEX(PT_DIFFERENTIATION_CS,MATCH(C43,PT_DIFFERENTIATION_CS_ID,0))</f>
        <v>с. Барабаш, с. Занадворовка</v>
      </c>
      <c r="AD43" s="5464"/>
      <c r="AE43" s="5464"/>
      <c r="AF43" s="5464"/>
      <c r="AG43" s="5464"/>
      <c r="AH43" s="5464"/>
      <c r="AI43" s="5464"/>
      <c r="AJ43" s="5463"/>
      <c r="AK43" s="5464"/>
      <c r="AL43" s="5464"/>
      <c r="AM43" s="5464"/>
      <c r="AN43" s="5464"/>
      <c r="AO43" s="5464"/>
      <c r="AP43" s="5465"/>
      <c r="AQ43" s="5463"/>
      <c r="AR43" s="5464"/>
      <c r="AS43" s="5464"/>
      <c r="AT43" s="5464"/>
      <c r="AU43" s="5464"/>
      <c r="AV43" s="5464"/>
      <c r="AW43" s="5465"/>
      <c r="AX43" s="5463"/>
      <c r="AY43" s="5464"/>
      <c r="AZ43" s="5464"/>
      <c r="BA43" s="5464"/>
      <c r="BB43" s="5464"/>
      <c r="BC43" s="5464"/>
      <c r="BD43" s="5465"/>
      <c r="BE43" s="5465"/>
      <c r="BF43" s="1179" t="s">
        <v>607</v>
      </c>
      <c r="BH43" s="438"/>
      <c r="BI43" s="438" t="str">
        <f t="shared" si="1"/>
        <v>Наименование централизованной системы водоотведения</v>
      </c>
      <c r="BJ43" s="438"/>
      <c r="BK43" s="438"/>
      <c r="BL43" s="1076">
        <v>23</v>
      </c>
    </row>
    <row r="44" spans="1:64" ht="24" customHeight="1">
      <c r="A44" s="1284" t="s">
        <v>297</v>
      </c>
      <c r="B44" s="1284" t="s">
        <v>298</v>
      </c>
      <c r="C44" s="1284" t="s">
        <v>299</v>
      </c>
      <c r="D44" s="1284" t="s">
        <v>610</v>
      </c>
      <c r="E44" s="5470"/>
      <c r="F44" s="5470"/>
      <c r="G44" s="5470"/>
      <c r="H44" s="5470"/>
      <c r="I44" s="5471" t="str">
        <f>S43&amp;".1"</f>
        <v>1.1.1.1</v>
      </c>
      <c r="J44" s="1284"/>
      <c r="K44" s="1284"/>
      <c r="L44" s="1285"/>
      <c r="P44" s="5473">
        <v>1</v>
      </c>
      <c r="Q44" s="1402"/>
      <c r="R44" s="294"/>
      <c r="S44" s="1414" t="str">
        <f>$I44</f>
        <v>1.1.1.1</v>
      </c>
      <c r="T44" s="223" t="s">
        <v>573</v>
      </c>
      <c r="U44" s="238"/>
      <c r="V44" s="5537"/>
      <c r="W44" s="5538"/>
      <c r="X44" s="5538"/>
      <c r="Y44" s="5538"/>
      <c r="Z44" s="5538"/>
      <c r="AA44" s="5538"/>
      <c r="AB44" s="5539"/>
      <c r="AC44" s="5540"/>
      <c r="AD44" s="5541"/>
      <c r="AE44" s="5541"/>
      <c r="AF44" s="5541"/>
      <c r="AG44" s="5541"/>
      <c r="AH44" s="5541"/>
      <c r="AI44" s="5541"/>
      <c r="AJ44" s="5537"/>
      <c r="AK44" s="5538"/>
      <c r="AL44" s="5538"/>
      <c r="AM44" s="5538"/>
      <c r="AN44" s="5538"/>
      <c r="AO44" s="5538"/>
      <c r="AP44" s="5539"/>
      <c r="AQ44" s="5537"/>
      <c r="AR44" s="5538"/>
      <c r="AS44" s="5538"/>
      <c r="AT44" s="5538"/>
      <c r="AU44" s="5538"/>
      <c r="AV44" s="5538"/>
      <c r="AW44" s="5539"/>
      <c r="AX44" s="5537"/>
      <c r="AY44" s="5538"/>
      <c r="AZ44" s="5538"/>
      <c r="BA44" s="5538"/>
      <c r="BB44" s="5538"/>
      <c r="BC44" s="5538"/>
      <c r="BD44" s="5539"/>
      <c r="BE44" s="5542"/>
      <c r="BF44" s="1179" t="s">
        <v>574</v>
      </c>
      <c r="BH44" s="438"/>
      <c r="BI44" s="438" t="str">
        <f t="shared" si="1"/>
        <v>Наименование признака дифференциации</v>
      </c>
      <c r="BJ44" s="438"/>
      <c r="BK44" s="438"/>
      <c r="BL44" s="1076">
        <v>23</v>
      </c>
    </row>
    <row r="45" spans="1:64" ht="24" customHeight="1">
      <c r="A45" s="1284" t="s">
        <v>297</v>
      </c>
      <c r="B45" s="1284" t="s">
        <v>298</v>
      </c>
      <c r="C45" s="1284" t="s">
        <v>299</v>
      </c>
      <c r="D45" s="1284" t="s">
        <v>610</v>
      </c>
      <c r="E45" s="5470"/>
      <c r="F45" s="5470"/>
      <c r="G45" s="5470"/>
      <c r="H45" s="5470"/>
      <c r="I45" s="5472"/>
      <c r="J45" s="5471" t="str">
        <f>I44&amp;".1"</f>
        <v>1.1.1.1.1</v>
      </c>
      <c r="K45" s="1284"/>
      <c r="L45" s="1285" t="s">
        <v>499</v>
      </c>
      <c r="P45" s="5473"/>
      <c r="Q45" s="5473">
        <v>1</v>
      </c>
      <c r="R45" s="295"/>
      <c r="S45" s="1414" t="str">
        <f>$J45</f>
        <v>1.1.1.1.1</v>
      </c>
      <c r="T45" s="224" t="s">
        <v>500</v>
      </c>
      <c r="U45" s="238"/>
      <c r="V45" s="5457"/>
      <c r="W45" s="5458"/>
      <c r="X45" s="5458"/>
      <c r="Y45" s="5458"/>
      <c r="Z45" s="5458"/>
      <c r="AA45" s="5458"/>
      <c r="AB45" s="5459"/>
      <c r="AC45" s="5457" t="s">
        <v>611</v>
      </c>
      <c r="AD45" s="5458"/>
      <c r="AE45" s="5458"/>
      <c r="AF45" s="5458"/>
      <c r="AG45" s="5458"/>
      <c r="AH45" s="5458"/>
      <c r="AI45" s="5458"/>
      <c r="AJ45" s="5457"/>
      <c r="AK45" s="5458"/>
      <c r="AL45" s="5458"/>
      <c r="AM45" s="5458"/>
      <c r="AN45" s="5458"/>
      <c r="AO45" s="5458"/>
      <c r="AP45" s="5459"/>
      <c r="AQ45" s="5457"/>
      <c r="AR45" s="5458"/>
      <c r="AS45" s="5458"/>
      <c r="AT45" s="5458"/>
      <c r="AU45" s="5458"/>
      <c r="AV45" s="5458"/>
      <c r="AW45" s="5459"/>
      <c r="AX45" s="5457"/>
      <c r="AY45" s="5458"/>
      <c r="AZ45" s="5458"/>
      <c r="BA45" s="5458"/>
      <c r="BB45" s="5458"/>
      <c r="BC45" s="5458"/>
      <c r="BD45" s="5459"/>
      <c r="BE45" s="5459"/>
      <c r="BF45" s="1228" t="s">
        <v>575</v>
      </c>
      <c r="BH45" s="438"/>
      <c r="BI45" s="438" t="str">
        <f t="shared" si="1"/>
        <v>Группа потребителей</v>
      </c>
      <c r="BJ45" s="438"/>
      <c r="BK45" s="438"/>
      <c r="BL45" s="1076">
        <v>23</v>
      </c>
    </row>
    <row r="46" spans="1:64" ht="24" customHeight="1">
      <c r="A46" s="1284" t="s">
        <v>297</v>
      </c>
      <c r="B46" s="1284" t="s">
        <v>298</v>
      </c>
      <c r="C46" s="1284" t="s">
        <v>299</v>
      </c>
      <c r="D46" s="1284" t="s">
        <v>610</v>
      </c>
      <c r="E46" s="5470"/>
      <c r="F46" s="5470"/>
      <c r="G46" s="5470"/>
      <c r="H46" s="5470"/>
      <c r="I46" s="5472"/>
      <c r="J46" s="5472"/>
      <c r="K46" s="5471" t="str">
        <f>J45&amp;".1"</f>
        <v>1.1.1.1.1.1</v>
      </c>
      <c r="L46" s="1285"/>
      <c r="P46" s="5473"/>
      <c r="Q46" s="5473"/>
      <c r="R46" s="295">
        <v>1</v>
      </c>
      <c r="S46" s="1414" t="str">
        <f>$K46</f>
        <v>1.1.1.1.1.1</v>
      </c>
      <c r="T46" s="1358" t="s">
        <v>569</v>
      </c>
      <c r="U46" s="238"/>
      <c r="V46" s="2055"/>
      <c r="W46" s="2055"/>
      <c r="X46" s="2056"/>
      <c r="Y46" s="5474"/>
      <c r="Z46" s="5338" t="s">
        <v>66</v>
      </c>
      <c r="AA46" s="5476"/>
      <c r="AB46" s="5338" t="s">
        <v>66</v>
      </c>
      <c r="AC46" s="689">
        <v>51.9</v>
      </c>
      <c r="AD46" s="689"/>
      <c r="AE46" s="1178"/>
      <c r="AF46" s="5474">
        <v>45658.59033564815</v>
      </c>
      <c r="AG46" s="5338" t="s">
        <v>66</v>
      </c>
      <c r="AH46" s="5476">
        <v>46022.590486111112</v>
      </c>
      <c r="AI46" s="5338" t="s">
        <v>66</v>
      </c>
      <c r="AJ46" s="2055">
        <v>51.86</v>
      </c>
      <c r="AK46" s="2055"/>
      <c r="AL46" s="2056"/>
      <c r="AM46" s="5474">
        <v>46023.600659722222</v>
      </c>
      <c r="AN46" s="5338" t="s">
        <v>66</v>
      </c>
      <c r="AO46" s="5476">
        <v>46387.600775462961</v>
      </c>
      <c r="AP46" s="5338" t="s">
        <v>66</v>
      </c>
      <c r="AQ46" s="2055">
        <v>53.4</v>
      </c>
      <c r="AR46" s="2055"/>
      <c r="AS46" s="2056"/>
      <c r="AT46" s="5474">
        <v>46388.603148148148</v>
      </c>
      <c r="AU46" s="5338" t="s">
        <v>66</v>
      </c>
      <c r="AV46" s="5476">
        <v>46752.603344907409</v>
      </c>
      <c r="AW46" s="5338" t="s">
        <v>66</v>
      </c>
      <c r="AX46" s="2055">
        <v>54.98</v>
      </c>
      <c r="AY46" s="2055"/>
      <c r="AZ46" s="2056"/>
      <c r="BA46" s="5474">
        <v>46753.60428240741</v>
      </c>
      <c r="BB46" s="5338" t="s">
        <v>66</v>
      </c>
      <c r="BC46" s="5476">
        <v>47118.604444444441</v>
      </c>
      <c r="BD46" s="5338" t="s">
        <v>66</v>
      </c>
      <c r="BE46" s="1359"/>
      <c r="BF4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46" s="449" t="e">
        <f ca="1">STRCHECKDATE(V47:BE47)</f>
        <v>#NAME?</v>
      </c>
      <c r="BH46" s="438"/>
      <c r="BI46" s="438" t="str">
        <f t="shared" si="1"/>
        <v>без НДС</v>
      </c>
      <c r="BJ46" s="438"/>
      <c r="BK46" s="438"/>
      <c r="BL46" s="1076">
        <v>23</v>
      </c>
    </row>
    <row r="47" spans="1:64" ht="0" hidden="1" customHeight="1">
      <c r="A47" s="1284" t="s">
        <v>297</v>
      </c>
      <c r="B47" s="1284" t="s">
        <v>298</v>
      </c>
      <c r="C47" s="1284" t="s">
        <v>299</v>
      </c>
      <c r="D47" s="1284" t="s">
        <v>610</v>
      </c>
      <c r="E47" s="5470"/>
      <c r="F47" s="5470"/>
      <c r="G47" s="5470"/>
      <c r="H47" s="5470"/>
      <c r="I47" s="5472"/>
      <c r="J47" s="5472"/>
      <c r="K47" s="5471"/>
      <c r="L47" s="1285"/>
      <c r="P47" s="5473"/>
      <c r="Q47" s="5473"/>
      <c r="R47" s="295"/>
      <c r="S47" s="1411"/>
      <c r="T47" s="238"/>
      <c r="U47" s="238"/>
      <c r="V47" s="2057"/>
      <c r="W47" s="2057"/>
      <c r="X47" s="2058" t="str">
        <f>Y46&amp;"-"&amp;AA46</f>
        <v>-</v>
      </c>
      <c r="Y47" s="5475"/>
      <c r="Z47" s="5338"/>
      <c r="AA47" s="5477"/>
      <c r="AB47" s="5338"/>
      <c r="AC47" s="263"/>
      <c r="AD47" s="263"/>
      <c r="AE47" s="266" t="str">
        <f>AF46&amp;"-"&amp;AH46</f>
        <v>45658,5903356482-46022,5904861111</v>
      </c>
      <c r="AF47" s="5475"/>
      <c r="AG47" s="5338"/>
      <c r="AH47" s="5477"/>
      <c r="AI47" s="5338"/>
      <c r="AJ47" s="2057"/>
      <c r="AK47" s="2057"/>
      <c r="AL47" s="2058" t="str">
        <f>AM46&amp;"-"&amp;AO46</f>
        <v>46023,6006597222-46387,600775463</v>
      </c>
      <c r="AM47" s="5475"/>
      <c r="AN47" s="5338"/>
      <c r="AO47" s="5477"/>
      <c r="AP47" s="5338"/>
      <c r="AQ47" s="2057"/>
      <c r="AR47" s="2057"/>
      <c r="AS47" s="2058" t="str">
        <f>AT46&amp;"-"&amp;AV46</f>
        <v>46388,6031481481-46752,6033449074</v>
      </c>
      <c r="AT47" s="5475"/>
      <c r="AU47" s="5338"/>
      <c r="AV47" s="5477"/>
      <c r="AW47" s="5338"/>
      <c r="AX47" s="2057"/>
      <c r="AY47" s="2057"/>
      <c r="AZ47" s="2058" t="str">
        <f>BA46&amp;"-"&amp;BC46</f>
        <v>46753,6042824074-47118,6044444444</v>
      </c>
      <c r="BA47" s="5475"/>
      <c r="BB47" s="5338"/>
      <c r="BC47" s="5477"/>
      <c r="BD47" s="5338"/>
      <c r="BE47" s="1360"/>
      <c r="BF47" s="5543"/>
      <c r="BH47" s="438"/>
      <c r="BI47" s="438" t="str">
        <f t="shared" si="1"/>
        <v/>
      </c>
      <c r="BJ47" s="438"/>
      <c r="BK47" s="438"/>
      <c r="BL47" s="1076">
        <v>0</v>
      </c>
    </row>
    <row r="48" spans="1:64" ht="21" customHeight="1">
      <c r="A48" s="1284" t="s">
        <v>297</v>
      </c>
      <c r="B48" s="1284" t="s">
        <v>298</v>
      </c>
      <c r="C48" s="1284" t="s">
        <v>299</v>
      </c>
      <c r="D48" s="1284" t="s">
        <v>610</v>
      </c>
      <c r="E48" s="5470"/>
      <c r="F48" s="5470"/>
      <c r="G48" s="5470"/>
      <c r="H48" s="5470"/>
      <c r="I48" s="5472"/>
      <c r="J48" s="5471"/>
      <c r="K48" s="1284"/>
      <c r="L48" s="1285"/>
      <c r="P48" s="5473"/>
      <c r="Q48" s="5473"/>
      <c r="R48" s="294"/>
      <c r="S48" s="1199"/>
      <c r="T48" s="225" t="s">
        <v>576</v>
      </c>
      <c r="U48" s="305"/>
      <c r="V48" s="305"/>
      <c r="W48" s="305"/>
      <c r="X48" s="305"/>
      <c r="Y48" s="305"/>
      <c r="Z48" s="305"/>
      <c r="AA48" s="305"/>
      <c r="AB48" s="305"/>
      <c r="AC48" s="305"/>
      <c r="AD48" s="305"/>
      <c r="AE48" s="305"/>
      <c r="AF48" s="305"/>
      <c r="AG48" s="305"/>
      <c r="AH48" s="305"/>
      <c r="AI48" s="305"/>
      <c r="AJ48" s="2134"/>
      <c r="AK48" s="2135"/>
      <c r="AL48" s="2136"/>
      <c r="AM48" s="2137"/>
      <c r="AN48" s="2138"/>
      <c r="AO48" s="2139"/>
      <c r="AP48" s="2140"/>
      <c r="AQ48" s="2141"/>
      <c r="AR48" s="2142"/>
      <c r="AS48" s="2143"/>
      <c r="AT48" s="2144"/>
      <c r="AU48" s="2145"/>
      <c r="AV48" s="2146"/>
      <c r="AW48" s="2147"/>
      <c r="AX48" s="2148"/>
      <c r="AY48" s="2149"/>
      <c r="AZ48" s="2150"/>
      <c r="BA48" s="2151"/>
      <c r="BB48" s="2152"/>
      <c r="BC48" s="2153"/>
      <c r="BD48" s="2154"/>
      <c r="BE48" s="305"/>
      <c r="BF48" s="1179" t="s">
        <v>577</v>
      </c>
      <c r="BH48" s="438"/>
      <c r="BI48" s="438" t="str">
        <f t="shared" si="1"/>
        <v>Добавить значение признака дифференциации</v>
      </c>
      <c r="BJ48" s="438"/>
      <c r="BK48" s="438"/>
      <c r="BL48" s="1076">
        <v>20</v>
      </c>
    </row>
    <row r="49" spans="1:64" s="4308" customFormat="1" ht="23.25" customHeight="1">
      <c r="A49" s="4309"/>
      <c r="B49" s="4309"/>
      <c r="C49" s="4309"/>
      <c r="D49" s="4309"/>
      <c r="E49" s="5470"/>
      <c r="F49" s="5470"/>
      <c r="G49" s="5470"/>
      <c r="H49" s="5470"/>
      <c r="I49" s="5472"/>
      <c r="J49" s="5471" t="str">
        <f>I44&amp;".2"</f>
        <v>1.1.1.1.2</v>
      </c>
      <c r="K49" s="4309"/>
      <c r="L49" s="4310" t="s">
        <v>499</v>
      </c>
      <c r="M49" s="4311"/>
      <c r="N49" s="4311"/>
      <c r="O49" s="4311"/>
      <c r="P49" s="5473"/>
      <c r="Q49" s="5553" t="s">
        <v>104</v>
      </c>
      <c r="R49" s="4312"/>
      <c r="S49" s="4313" t="str">
        <f>$J49</f>
        <v>1.1.1.1.2</v>
      </c>
      <c r="T49" s="4314" t="s">
        <v>500</v>
      </c>
      <c r="U49" s="4315"/>
      <c r="V49" s="5457"/>
      <c r="W49" s="5458"/>
      <c r="X49" s="5458"/>
      <c r="Y49" s="5458"/>
      <c r="Z49" s="5458"/>
      <c r="AA49" s="5458"/>
      <c r="AB49" s="5459"/>
      <c r="AC49" s="5457" t="s">
        <v>612</v>
      </c>
      <c r="AD49" s="5458"/>
      <c r="AE49" s="5458"/>
      <c r="AF49" s="5458"/>
      <c r="AG49" s="5458"/>
      <c r="AH49" s="5458"/>
      <c r="AI49" s="5458"/>
      <c r="AJ49" s="5457"/>
      <c r="AK49" s="5458"/>
      <c r="AL49" s="5458"/>
      <c r="AM49" s="5458"/>
      <c r="AN49" s="5458"/>
      <c r="AO49" s="5458"/>
      <c r="AP49" s="5459"/>
      <c r="AQ49" s="5457"/>
      <c r="AR49" s="5458"/>
      <c r="AS49" s="5458"/>
      <c r="AT49" s="5458"/>
      <c r="AU49" s="5458"/>
      <c r="AV49" s="5458"/>
      <c r="AW49" s="5459"/>
      <c r="AX49" s="5457"/>
      <c r="AY49" s="5458"/>
      <c r="AZ49" s="5458"/>
      <c r="BA49" s="5458"/>
      <c r="BB49" s="5458"/>
      <c r="BC49" s="5458"/>
      <c r="BD49" s="5554"/>
      <c r="BE49" s="5459"/>
      <c r="BF49" s="4316" t="s">
        <v>575</v>
      </c>
      <c r="BG49" s="4317"/>
      <c r="BH49" s="4318"/>
      <c r="BI49" s="4318" t="str">
        <f t="shared" si="1"/>
        <v>Группа потребителей</v>
      </c>
      <c r="BJ49" s="4318"/>
      <c r="BK49" s="4318"/>
      <c r="BL49" s="4319">
        <v>0</v>
      </c>
    </row>
    <row r="50" spans="1:64" s="4320" customFormat="1" ht="23.25" customHeight="1">
      <c r="A50" s="4309"/>
      <c r="B50" s="4309"/>
      <c r="C50" s="4309"/>
      <c r="D50" s="4309"/>
      <c r="E50" s="5470"/>
      <c r="F50" s="5470"/>
      <c r="G50" s="5470"/>
      <c r="H50" s="5470"/>
      <c r="I50" s="5472"/>
      <c r="J50" s="5472" t="str">
        <f>I44&amp;".1"</f>
        <v>1.1.1.1.1</v>
      </c>
      <c r="K50" s="5471" t="str">
        <f>J49&amp;".1"</f>
        <v>1.1.1.1.2.1</v>
      </c>
      <c r="L50" s="4310"/>
      <c r="M50" s="4311"/>
      <c r="N50" s="4311"/>
      <c r="O50" s="4311"/>
      <c r="P50" s="5473"/>
      <c r="Q50" s="5473"/>
      <c r="R50" s="4312">
        <v>1</v>
      </c>
      <c r="S50" s="4313" t="str">
        <f>$K50</f>
        <v>1.1.1.1.2.1</v>
      </c>
      <c r="T50" s="4321" t="s">
        <v>568</v>
      </c>
      <c r="U50" s="4315"/>
      <c r="V50" s="4322"/>
      <c r="W50" s="4322"/>
      <c r="X50" s="4323"/>
      <c r="Y50" s="5474"/>
      <c r="Z50" s="5338" t="s">
        <v>66</v>
      </c>
      <c r="AA50" s="5474"/>
      <c r="AB50" s="5338" t="s">
        <v>66</v>
      </c>
      <c r="AC50" s="4322">
        <v>62.28</v>
      </c>
      <c r="AD50" s="4322"/>
      <c r="AE50" s="4323"/>
      <c r="AF50" s="5474">
        <v>45658.625752314816</v>
      </c>
      <c r="AG50" s="5338" t="s">
        <v>66</v>
      </c>
      <c r="AH50" s="5476">
        <v>46022.625949074078</v>
      </c>
      <c r="AI50" s="5338" t="s">
        <v>66</v>
      </c>
      <c r="AJ50" s="4322">
        <v>62.23</v>
      </c>
      <c r="AK50" s="4322"/>
      <c r="AL50" s="4323"/>
      <c r="AM50" s="5474">
        <v>46023.627106481479</v>
      </c>
      <c r="AN50" s="5338" t="s">
        <v>66</v>
      </c>
      <c r="AO50" s="5474">
        <v>46387.627175925925</v>
      </c>
      <c r="AP50" s="5338" t="s">
        <v>66</v>
      </c>
      <c r="AQ50" s="4322">
        <v>64.08</v>
      </c>
      <c r="AR50" s="4322"/>
      <c r="AS50" s="4323"/>
      <c r="AT50" s="5474">
        <v>46388.627418981479</v>
      </c>
      <c r="AU50" s="5338" t="s">
        <v>66</v>
      </c>
      <c r="AV50" s="5474">
        <v>46752.627476851849</v>
      </c>
      <c r="AW50" s="5338" t="s">
        <v>66</v>
      </c>
      <c r="AX50" s="4322">
        <v>65.98</v>
      </c>
      <c r="AY50" s="4322"/>
      <c r="AZ50" s="4323"/>
      <c r="BA50" s="5474">
        <v>46753.627824074072</v>
      </c>
      <c r="BB50" s="5338" t="s">
        <v>66</v>
      </c>
      <c r="BC50" s="5474">
        <v>47118.627962962964</v>
      </c>
      <c r="BD50" s="5555" t="s">
        <v>66</v>
      </c>
      <c r="BE50" s="4324"/>
      <c r="BF50"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50" s="4317" t="e">
        <f ca="1">STRCHECKDATE(V51:BE51)</f>
        <v>#NAME?</v>
      </c>
      <c r="BH50" s="4318"/>
      <c r="BI50" s="4318" t="str">
        <f t="shared" si="1"/>
        <v>с НДС</v>
      </c>
      <c r="BJ50" s="4318"/>
      <c r="BK50" s="4318"/>
      <c r="BL50" s="4319">
        <v>0</v>
      </c>
    </row>
    <row r="51" spans="1:64" s="4325" customFormat="1" ht="14.25" customHeight="1">
      <c r="A51" s="4309"/>
      <c r="B51" s="4309"/>
      <c r="C51" s="4309"/>
      <c r="D51" s="4309"/>
      <c r="E51" s="5470"/>
      <c r="F51" s="5470"/>
      <c r="G51" s="5470"/>
      <c r="H51" s="5470"/>
      <c r="I51" s="5472"/>
      <c r="J51" s="5472" t="str">
        <f>I44&amp;".1"</f>
        <v>1.1.1.1.1</v>
      </c>
      <c r="K51" s="5471"/>
      <c r="L51" s="4310"/>
      <c r="M51" s="4311"/>
      <c r="N51" s="4311"/>
      <c r="O51" s="4311"/>
      <c r="P51" s="5473"/>
      <c r="Q51" s="5473"/>
      <c r="R51" s="4312"/>
      <c r="S51" s="4326"/>
      <c r="T51" s="4315"/>
      <c r="U51" s="4315"/>
      <c r="V51" s="4327"/>
      <c r="W51" s="4327"/>
      <c r="X51" s="4328" t="str">
        <f>Y50&amp;"-"&amp;AA50</f>
        <v>-</v>
      </c>
      <c r="Y51" s="5475"/>
      <c r="Z51" s="5338"/>
      <c r="AA51" s="5475"/>
      <c r="AB51" s="5338"/>
      <c r="AC51" s="4327"/>
      <c r="AD51" s="4327"/>
      <c r="AE51" s="4328" t="str">
        <f>AF50&amp;"-"&amp;AH50</f>
        <v>45658,6257523148-46022,6259490741</v>
      </c>
      <c r="AF51" s="5475"/>
      <c r="AG51" s="5338"/>
      <c r="AH51" s="5477"/>
      <c r="AI51" s="5338"/>
      <c r="AJ51" s="4327"/>
      <c r="AK51" s="4327"/>
      <c r="AL51" s="4328" t="str">
        <f>AM50&amp;"-"&amp;AO50</f>
        <v>46023,6271064815-46387,6271759259</v>
      </c>
      <c r="AM51" s="5475"/>
      <c r="AN51" s="5338"/>
      <c r="AO51" s="5475"/>
      <c r="AP51" s="5338"/>
      <c r="AQ51" s="4327"/>
      <c r="AR51" s="4327"/>
      <c r="AS51" s="4328" t="str">
        <f>AT50&amp;"-"&amp;AV50</f>
        <v>46388,6274189815-46752,6274768518</v>
      </c>
      <c r="AT51" s="5475"/>
      <c r="AU51" s="5338"/>
      <c r="AV51" s="5475"/>
      <c r="AW51" s="5338"/>
      <c r="AX51" s="4327"/>
      <c r="AY51" s="4327"/>
      <c r="AZ51" s="4328" t="str">
        <f>BA50&amp;"-"&amp;BC50</f>
        <v>46753,6278240741-47118,627962963</v>
      </c>
      <c r="BA51" s="5475"/>
      <c r="BB51" s="5338"/>
      <c r="BC51" s="5475"/>
      <c r="BD51" s="5555"/>
      <c r="BE51" s="4329"/>
      <c r="BF51" s="5543"/>
      <c r="BG51" s="4317"/>
      <c r="BH51" s="4318"/>
      <c r="BI51" s="4318" t="str">
        <f t="shared" si="1"/>
        <v/>
      </c>
      <c r="BJ51" s="4318"/>
      <c r="BK51" s="4318"/>
      <c r="BL51" s="4319">
        <v>0</v>
      </c>
    </row>
    <row r="52" spans="1:64" s="4330" customFormat="1" ht="21" customHeight="1">
      <c r="A52" s="4309"/>
      <c r="B52" s="4309"/>
      <c r="C52" s="4309"/>
      <c r="D52" s="4309"/>
      <c r="E52" s="5470"/>
      <c r="F52" s="5470"/>
      <c r="G52" s="5470"/>
      <c r="H52" s="5470"/>
      <c r="I52" s="5472"/>
      <c r="J52" s="5471" t="str">
        <f>I44&amp;".1"</f>
        <v>1.1.1.1.1</v>
      </c>
      <c r="K52" s="4309"/>
      <c r="L52" s="4310"/>
      <c r="M52" s="4311"/>
      <c r="N52" s="4311"/>
      <c r="O52" s="4311"/>
      <c r="P52" s="5473"/>
      <c r="Q52" s="5473"/>
      <c r="R52" s="4331"/>
      <c r="S52" s="4332"/>
      <c r="T52" s="4333" t="s">
        <v>576</v>
      </c>
      <c r="U52" s="4334"/>
      <c r="V52" s="4335"/>
      <c r="W52" s="4336"/>
      <c r="X52" s="4337"/>
      <c r="Y52" s="4338"/>
      <c r="Z52" s="4339"/>
      <c r="AA52" s="4340"/>
      <c r="AB52" s="4341"/>
      <c r="AC52" s="4342"/>
      <c r="AD52" s="4343"/>
      <c r="AE52" s="4344"/>
      <c r="AF52" s="4345"/>
      <c r="AG52" s="4346"/>
      <c r="AH52" s="4347"/>
      <c r="AI52" s="4348"/>
      <c r="AJ52" s="4349"/>
      <c r="AK52" s="4350"/>
      <c r="AL52" s="4351"/>
      <c r="AM52" s="4352"/>
      <c r="AN52" s="4353"/>
      <c r="AO52" s="4354"/>
      <c r="AP52" s="4355"/>
      <c r="AQ52" s="4356"/>
      <c r="AR52" s="4357"/>
      <c r="AS52" s="4358"/>
      <c r="AT52" s="4359"/>
      <c r="AU52" s="4360"/>
      <c r="AV52" s="4361"/>
      <c r="AW52" s="4362"/>
      <c r="AX52" s="4363"/>
      <c r="AY52" s="4364"/>
      <c r="AZ52" s="4365"/>
      <c r="BA52" s="4366"/>
      <c r="BB52" s="4367"/>
      <c r="BC52" s="4368"/>
      <c r="BD52" s="4369"/>
      <c r="BE52" s="4370"/>
      <c r="BF52" s="4371" t="s">
        <v>577</v>
      </c>
      <c r="BG52" s="4317"/>
      <c r="BH52" s="4318"/>
      <c r="BI52" s="4318" t="str">
        <f t="shared" si="1"/>
        <v>Добавить значение признака дифференциации</v>
      </c>
      <c r="BJ52" s="4318"/>
      <c r="BK52" s="4318"/>
      <c r="BL52" s="4319">
        <v>0</v>
      </c>
    </row>
    <row r="53" spans="1:64" ht="21.95" customHeight="1">
      <c r="A53" s="1284" t="s">
        <v>297</v>
      </c>
      <c r="B53" s="1284" t="s">
        <v>298</v>
      </c>
      <c r="C53" s="1284" t="s">
        <v>299</v>
      </c>
      <c r="D53" s="1284" t="s">
        <v>610</v>
      </c>
      <c r="E53" s="5470"/>
      <c r="F53" s="5470"/>
      <c r="G53" s="5470"/>
      <c r="H53" s="5470"/>
      <c r="I53" s="5471"/>
      <c r="J53" s="1284"/>
      <c r="K53" s="1284"/>
      <c r="L53" s="1285"/>
      <c r="P53" s="5473"/>
      <c r="Q53" s="1402"/>
      <c r="R53" s="294"/>
      <c r="S53" s="1199"/>
      <c r="T53" s="303" t="s">
        <v>505</v>
      </c>
      <c r="U53" s="305"/>
      <c r="V53" s="305"/>
      <c r="W53" s="305"/>
      <c r="X53" s="305"/>
      <c r="Y53" s="305"/>
      <c r="Z53" s="305"/>
      <c r="AA53" s="305"/>
      <c r="AB53" s="304"/>
      <c r="AC53" s="305"/>
      <c r="AD53" s="305"/>
      <c r="AE53" s="305"/>
      <c r="AF53" s="305"/>
      <c r="AG53" s="305"/>
      <c r="AH53" s="305"/>
      <c r="AI53" s="304"/>
      <c r="AJ53" s="2155"/>
      <c r="AK53" s="2156"/>
      <c r="AL53" s="2157"/>
      <c r="AM53" s="2158"/>
      <c r="AN53" s="2159"/>
      <c r="AO53" s="2160"/>
      <c r="AP53" s="2161"/>
      <c r="AQ53" s="2162"/>
      <c r="AR53" s="2163"/>
      <c r="AS53" s="2164"/>
      <c r="AT53" s="2165"/>
      <c r="AU53" s="2166"/>
      <c r="AV53" s="2167"/>
      <c r="AW53" s="2168"/>
      <c r="AX53" s="2169"/>
      <c r="AY53" s="2170"/>
      <c r="AZ53" s="2171"/>
      <c r="BA53" s="2172"/>
      <c r="BB53" s="2173"/>
      <c r="BC53" s="2174"/>
      <c r="BD53" s="2175"/>
      <c r="BE53" s="305"/>
      <c r="BF53" s="1361"/>
      <c r="BH53" s="438"/>
      <c r="BI53" s="438" t="str">
        <f t="shared" si="1"/>
        <v>Добавить группу потребителей</v>
      </c>
      <c r="BJ53" s="438"/>
      <c r="BK53" s="438"/>
      <c r="BL53" s="1076">
        <v>21</v>
      </c>
    </row>
    <row r="54" spans="1:64" ht="21.95" customHeight="1">
      <c r="A54" s="1284" t="s">
        <v>297</v>
      </c>
      <c r="B54" s="1284" t="s">
        <v>298</v>
      </c>
      <c r="C54" s="1284" t="s">
        <v>299</v>
      </c>
      <c r="D54" s="1284" t="s">
        <v>610</v>
      </c>
      <c r="E54" s="5470"/>
      <c r="F54" s="5470"/>
      <c r="G54" s="5470"/>
      <c r="H54" s="5469"/>
      <c r="I54" s="1284"/>
      <c r="J54" s="1284"/>
      <c r="K54" s="1284"/>
      <c r="L54" s="1285"/>
      <c r="M54" s="1286"/>
      <c r="N54" s="1286"/>
      <c r="O54" s="475"/>
      <c r="P54" s="298"/>
      <c r="Q54" s="313"/>
      <c r="R54" s="293"/>
      <c r="S54" s="1199"/>
      <c r="T54" s="310" t="s">
        <v>578</v>
      </c>
      <c r="U54" s="305"/>
      <c r="V54" s="305"/>
      <c r="W54" s="305"/>
      <c r="X54" s="305"/>
      <c r="Y54" s="305"/>
      <c r="Z54" s="305"/>
      <c r="AA54" s="305"/>
      <c r="AB54" s="304"/>
      <c r="AC54" s="305"/>
      <c r="AD54" s="305"/>
      <c r="AE54" s="305"/>
      <c r="AF54" s="305"/>
      <c r="AG54" s="305"/>
      <c r="AH54" s="305"/>
      <c r="AI54" s="304"/>
      <c r="AJ54" s="2176"/>
      <c r="AK54" s="2177"/>
      <c r="AL54" s="2178"/>
      <c r="AM54" s="2179"/>
      <c r="AN54" s="2180"/>
      <c r="AO54" s="2181"/>
      <c r="AP54" s="2182"/>
      <c r="AQ54" s="2183"/>
      <c r="AR54" s="2184"/>
      <c r="AS54" s="2185"/>
      <c r="AT54" s="2186"/>
      <c r="AU54" s="2187"/>
      <c r="AV54" s="2188"/>
      <c r="AW54" s="2189"/>
      <c r="AX54" s="2190"/>
      <c r="AY54" s="2191"/>
      <c r="AZ54" s="2192"/>
      <c r="BA54" s="2193"/>
      <c r="BB54" s="2194"/>
      <c r="BC54" s="2195"/>
      <c r="BD54" s="2196"/>
      <c r="BE54" s="305"/>
      <c r="BF54" s="241"/>
      <c r="BH54" s="438"/>
      <c r="BI54" s="438" t="str">
        <f t="shared" si="1"/>
        <v>Добавить наименование признака дифференциации</v>
      </c>
      <c r="BJ54" s="438"/>
      <c r="BK54" s="438"/>
      <c r="BL54" s="1076">
        <v>21</v>
      </c>
    </row>
    <row r="55" spans="1:64" s="4372" customFormat="1" ht="23.25" customHeight="1">
      <c r="A55" s="2197"/>
      <c r="B55" s="2197"/>
      <c r="C55" s="2197" t="s">
        <v>301</v>
      </c>
      <c r="D55" s="2197"/>
      <c r="E55" s="5470"/>
      <c r="F55" s="5470"/>
      <c r="G55" s="5469" t="s">
        <v>103</v>
      </c>
      <c r="H55" s="2197"/>
      <c r="I55" s="2197"/>
      <c r="J55" s="2197"/>
      <c r="K55" s="2197"/>
      <c r="L55" s="2198"/>
      <c r="M55" s="2199"/>
      <c r="N55" s="2199"/>
      <c r="O55" s="2199"/>
      <c r="P55" s="2200"/>
      <c r="Q55" s="2201"/>
      <c r="R55" s="2202"/>
      <c r="S55" s="2203" t="str">
        <f>INDEX(PT_DIFFERENTIATION_NUM_CS,MATCH(C55,PT_DIFFERENTIATION_CS_ID,0))</f>
        <v>1.1.2</v>
      </c>
      <c r="T55" s="2204" t="s">
        <v>606</v>
      </c>
      <c r="U55" s="2205"/>
      <c r="V55" s="5463"/>
      <c r="W55" s="5464"/>
      <c r="X55" s="5464"/>
      <c r="Y55" s="5464"/>
      <c r="Z55" s="5464"/>
      <c r="AA55" s="5464"/>
      <c r="AB55" s="5465"/>
      <c r="AC55" s="5463" t="str">
        <f>INDEX(PT_DIFFERENTIATION_CS,MATCH(C55,PT_DIFFERENTIATION_CS_ID,0))</f>
        <v>с. Безверхово, п. Перевозное</v>
      </c>
      <c r="AD55" s="5464"/>
      <c r="AE55" s="5464"/>
      <c r="AF55" s="5464"/>
      <c r="AG55" s="5464"/>
      <c r="AH55" s="5464"/>
      <c r="AI55" s="5464"/>
      <c r="AJ55" s="5463"/>
      <c r="AK55" s="5464"/>
      <c r="AL55" s="5464"/>
      <c r="AM55" s="5464"/>
      <c r="AN55" s="5464"/>
      <c r="AO55" s="5464"/>
      <c r="AP55" s="5465"/>
      <c r="AQ55" s="5463"/>
      <c r="AR55" s="5464"/>
      <c r="AS55" s="5464"/>
      <c r="AT55" s="5464"/>
      <c r="AU55" s="5464"/>
      <c r="AV55" s="5464"/>
      <c r="AW55" s="5465"/>
      <c r="AX55" s="5463"/>
      <c r="AY55" s="5464"/>
      <c r="AZ55" s="5464"/>
      <c r="BA55" s="5464"/>
      <c r="BB55" s="5464"/>
      <c r="BC55" s="5464"/>
      <c r="BD55" s="5465"/>
      <c r="BE55" s="5465"/>
      <c r="BF55" s="2206" t="s">
        <v>607</v>
      </c>
      <c r="BG55" s="2129"/>
      <c r="BH55" s="2207"/>
      <c r="BI55" s="2207" t="str">
        <f t="shared" si="1"/>
        <v>Наименование централизованной системы водоотведения</v>
      </c>
      <c r="BJ55" s="2207"/>
      <c r="BK55" s="2207"/>
      <c r="BL55" s="2054">
        <v>0</v>
      </c>
    </row>
    <row r="56" spans="1:64" s="4373" customFormat="1" ht="23.25" customHeight="1">
      <c r="A56" s="2197"/>
      <c r="B56" s="2197"/>
      <c r="C56" s="2197"/>
      <c r="D56" s="2197"/>
      <c r="E56" s="5470"/>
      <c r="F56" s="5470"/>
      <c r="G56" s="5470">
        <v>1</v>
      </c>
      <c r="H56" s="5470"/>
      <c r="I56" s="5471" t="str">
        <f>S55&amp;".1"</f>
        <v>1.1.2.1</v>
      </c>
      <c r="J56" s="2197"/>
      <c r="K56" s="2197"/>
      <c r="L56" s="2198"/>
      <c r="M56" s="2208"/>
      <c r="N56" s="2208"/>
      <c r="O56" s="2208"/>
      <c r="P56" s="5473">
        <v>1</v>
      </c>
      <c r="Q56" s="2209"/>
      <c r="R56" s="2210"/>
      <c r="S56" s="2203" t="str">
        <f>$I56</f>
        <v>1.1.2.1</v>
      </c>
      <c r="T56" s="2211" t="s">
        <v>573</v>
      </c>
      <c r="U56" s="2205"/>
      <c r="V56" s="5537"/>
      <c r="W56" s="5538"/>
      <c r="X56" s="5538"/>
      <c r="Y56" s="5538"/>
      <c r="Z56" s="5538"/>
      <c r="AA56" s="5538"/>
      <c r="AB56" s="5539"/>
      <c r="AC56" s="5540"/>
      <c r="AD56" s="5541"/>
      <c r="AE56" s="5541"/>
      <c r="AF56" s="5541"/>
      <c r="AG56" s="5541"/>
      <c r="AH56" s="5541"/>
      <c r="AI56" s="5541"/>
      <c r="AJ56" s="5537"/>
      <c r="AK56" s="5538"/>
      <c r="AL56" s="5538"/>
      <c r="AM56" s="5538"/>
      <c r="AN56" s="5538"/>
      <c r="AO56" s="5538"/>
      <c r="AP56" s="5539"/>
      <c r="AQ56" s="5537"/>
      <c r="AR56" s="5538"/>
      <c r="AS56" s="5538"/>
      <c r="AT56" s="5538"/>
      <c r="AU56" s="5538"/>
      <c r="AV56" s="5538"/>
      <c r="AW56" s="5539"/>
      <c r="AX56" s="5537"/>
      <c r="AY56" s="5538"/>
      <c r="AZ56" s="5538"/>
      <c r="BA56" s="5538"/>
      <c r="BB56" s="5538"/>
      <c r="BC56" s="5538"/>
      <c r="BD56" s="5539"/>
      <c r="BE56" s="5542"/>
      <c r="BF56" s="2206" t="s">
        <v>574</v>
      </c>
      <c r="BG56" s="2129"/>
      <c r="BH56" s="2207"/>
      <c r="BI56" s="2207" t="str">
        <f t="shared" si="1"/>
        <v>Наименование признака дифференциации</v>
      </c>
      <c r="BJ56" s="2207"/>
      <c r="BK56" s="2207"/>
      <c r="BL56" s="2054">
        <v>0</v>
      </c>
    </row>
    <row r="57" spans="1:64" s="4374" customFormat="1" ht="23.25" customHeight="1">
      <c r="A57" s="2197"/>
      <c r="B57" s="2197"/>
      <c r="C57" s="2197"/>
      <c r="D57" s="2197"/>
      <c r="E57" s="5470"/>
      <c r="F57" s="5470"/>
      <c r="G57" s="5470">
        <v>1</v>
      </c>
      <c r="H57" s="5470"/>
      <c r="I57" s="5472"/>
      <c r="J57" s="5471" t="str">
        <f>I56&amp;".1"</f>
        <v>1.1.2.1.1</v>
      </c>
      <c r="K57" s="2197"/>
      <c r="L57" s="2198" t="s">
        <v>499</v>
      </c>
      <c r="M57" s="2208"/>
      <c r="N57" s="2208"/>
      <c r="O57" s="2208"/>
      <c r="P57" s="5473"/>
      <c r="Q57" s="5473">
        <v>1</v>
      </c>
      <c r="R57" s="2212"/>
      <c r="S57" s="2203" t="str">
        <f>$J57</f>
        <v>1.1.2.1.1</v>
      </c>
      <c r="T57" s="2213" t="s">
        <v>500</v>
      </c>
      <c r="U57" s="2205"/>
      <c r="V57" s="5457"/>
      <c r="W57" s="5458"/>
      <c r="X57" s="5458"/>
      <c r="Y57" s="5458"/>
      <c r="Z57" s="5458"/>
      <c r="AA57" s="5458"/>
      <c r="AB57" s="5459"/>
      <c r="AC57" s="5457" t="s">
        <v>611</v>
      </c>
      <c r="AD57" s="5458"/>
      <c r="AE57" s="5458"/>
      <c r="AF57" s="5458"/>
      <c r="AG57" s="5458"/>
      <c r="AH57" s="5458"/>
      <c r="AI57" s="5458"/>
      <c r="AJ57" s="5457"/>
      <c r="AK57" s="5458"/>
      <c r="AL57" s="5458"/>
      <c r="AM57" s="5458"/>
      <c r="AN57" s="5458"/>
      <c r="AO57" s="5458"/>
      <c r="AP57" s="5459"/>
      <c r="AQ57" s="5457"/>
      <c r="AR57" s="5458"/>
      <c r="AS57" s="5458"/>
      <c r="AT57" s="5458"/>
      <c r="AU57" s="5458"/>
      <c r="AV57" s="5458"/>
      <c r="AW57" s="5459"/>
      <c r="AX57" s="5457"/>
      <c r="AY57" s="5458"/>
      <c r="AZ57" s="5458"/>
      <c r="BA57" s="5458"/>
      <c r="BB57" s="5458"/>
      <c r="BC57" s="5458"/>
      <c r="BD57" s="5459"/>
      <c r="BE57" s="5459"/>
      <c r="BF57" s="2214" t="s">
        <v>575</v>
      </c>
      <c r="BG57" s="2129"/>
      <c r="BH57" s="2207"/>
      <c r="BI57" s="2207" t="str">
        <f t="shared" si="1"/>
        <v>Группа потребителей</v>
      </c>
      <c r="BJ57" s="2207"/>
      <c r="BK57" s="2207"/>
      <c r="BL57" s="2054">
        <v>0</v>
      </c>
    </row>
    <row r="58" spans="1:64" s="4375" customFormat="1" ht="23.25" customHeight="1">
      <c r="A58" s="2197"/>
      <c r="B58" s="2197"/>
      <c r="C58" s="2197"/>
      <c r="D58" s="2197"/>
      <c r="E58" s="5470"/>
      <c r="F58" s="5470"/>
      <c r="G58" s="5470">
        <v>1</v>
      </c>
      <c r="H58" s="5470"/>
      <c r="I58" s="5472"/>
      <c r="J58" s="5472"/>
      <c r="K58" s="5471" t="str">
        <f>J57&amp;".1"</f>
        <v>1.1.2.1.1.1</v>
      </c>
      <c r="L58" s="2198"/>
      <c r="M58" s="2208"/>
      <c r="N58" s="2208"/>
      <c r="O58" s="2208"/>
      <c r="P58" s="5473"/>
      <c r="Q58" s="5473"/>
      <c r="R58" s="2212">
        <v>1</v>
      </c>
      <c r="S58" s="2203" t="str">
        <f>$K58</f>
        <v>1.1.2.1.1.1</v>
      </c>
      <c r="T58" s="2215" t="s">
        <v>569</v>
      </c>
      <c r="U58" s="2205"/>
      <c r="V58" s="2055"/>
      <c r="W58" s="2055"/>
      <c r="X58" s="2056"/>
      <c r="Y58" s="5474"/>
      <c r="Z58" s="5338" t="s">
        <v>66</v>
      </c>
      <c r="AA58" s="5474"/>
      <c r="AB58" s="5338" t="s">
        <v>66</v>
      </c>
      <c r="AC58" s="2055">
        <v>26.11</v>
      </c>
      <c r="AD58" s="2055"/>
      <c r="AE58" s="2056"/>
      <c r="AF58" s="5474">
        <v>45658.612164351849</v>
      </c>
      <c r="AG58" s="5338" t="s">
        <v>66</v>
      </c>
      <c r="AH58" s="5476">
        <v>46022.611990740741</v>
      </c>
      <c r="AI58" s="5338" t="s">
        <v>66</v>
      </c>
      <c r="AJ58" s="2055">
        <v>25.32</v>
      </c>
      <c r="AK58" s="2055"/>
      <c r="AL58" s="2056"/>
      <c r="AM58" s="5474">
        <v>46023.644618055558</v>
      </c>
      <c r="AN58" s="5338" t="s">
        <v>66</v>
      </c>
      <c r="AO58" s="5474">
        <v>46387.644745370373</v>
      </c>
      <c r="AP58" s="5338" t="s">
        <v>66</v>
      </c>
      <c r="AQ58" s="2055">
        <v>26.06</v>
      </c>
      <c r="AR58" s="2055"/>
      <c r="AS58" s="2056"/>
      <c r="AT58" s="5474">
        <v>46388.644884259258</v>
      </c>
      <c r="AU58" s="5338" t="s">
        <v>66</v>
      </c>
      <c r="AV58" s="5474">
        <v>46752.644988425927</v>
      </c>
      <c r="AW58" s="5338" t="s">
        <v>66</v>
      </c>
      <c r="AX58" s="2055">
        <v>26.84</v>
      </c>
      <c r="AY58" s="2055"/>
      <c r="AZ58" s="2056"/>
      <c r="BA58" s="5474">
        <v>46753.645266203705</v>
      </c>
      <c r="BB58" s="5338" t="s">
        <v>66</v>
      </c>
      <c r="BC58" s="5474">
        <v>47118.645416666666</v>
      </c>
      <c r="BD58" s="5338" t="s">
        <v>66</v>
      </c>
      <c r="BE58" s="2216"/>
      <c r="BF58"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58" s="2129" t="e">
        <f ca="1">STRCHECKDATE(V59:BE59)</f>
        <v>#NAME?</v>
      </c>
      <c r="BH58" s="2207"/>
      <c r="BI58" s="2207" t="str">
        <f t="shared" si="1"/>
        <v>без НДС</v>
      </c>
      <c r="BJ58" s="2207"/>
      <c r="BK58" s="2207"/>
      <c r="BL58" s="2054">
        <v>0</v>
      </c>
    </row>
    <row r="59" spans="1:64" s="4376" customFormat="1" ht="14.25" customHeight="1">
      <c r="A59" s="2197"/>
      <c r="B59" s="2197"/>
      <c r="C59" s="2197"/>
      <c r="D59" s="2197"/>
      <c r="E59" s="5470"/>
      <c r="F59" s="5470"/>
      <c r="G59" s="5470">
        <v>1</v>
      </c>
      <c r="H59" s="5470"/>
      <c r="I59" s="5472"/>
      <c r="J59" s="5472"/>
      <c r="K59" s="5471"/>
      <c r="L59" s="2198"/>
      <c r="M59" s="2208"/>
      <c r="N59" s="2208"/>
      <c r="O59" s="2208"/>
      <c r="P59" s="5473"/>
      <c r="Q59" s="5473"/>
      <c r="R59" s="2212"/>
      <c r="S59" s="2217"/>
      <c r="T59" s="2205"/>
      <c r="U59" s="2205"/>
      <c r="V59" s="2057"/>
      <c r="W59" s="2057"/>
      <c r="X59" s="2058" t="str">
        <f>Y58&amp;"-"&amp;AA58</f>
        <v>-</v>
      </c>
      <c r="Y59" s="5475"/>
      <c r="Z59" s="5338"/>
      <c r="AA59" s="5475"/>
      <c r="AB59" s="5338"/>
      <c r="AC59" s="2057"/>
      <c r="AD59" s="2057"/>
      <c r="AE59" s="2058" t="str">
        <f>AF58&amp;"-"&amp;AH58</f>
        <v>45658,6121643518-46022,6119907407</v>
      </c>
      <c r="AF59" s="5475"/>
      <c r="AG59" s="5338"/>
      <c r="AH59" s="5477"/>
      <c r="AI59" s="5338"/>
      <c r="AJ59" s="2057"/>
      <c r="AK59" s="2057"/>
      <c r="AL59" s="2058" t="str">
        <f>AM58&amp;"-"&amp;AO58</f>
        <v>46023,6446180556-46387,6447453703</v>
      </c>
      <c r="AM59" s="5475"/>
      <c r="AN59" s="5338"/>
      <c r="AO59" s="5475"/>
      <c r="AP59" s="5338"/>
      <c r="AQ59" s="2057"/>
      <c r="AR59" s="2057"/>
      <c r="AS59" s="2058" t="str">
        <f>AT58&amp;"-"&amp;AV58</f>
        <v>46388,6448842593-46752,6449884259</v>
      </c>
      <c r="AT59" s="5475"/>
      <c r="AU59" s="5338"/>
      <c r="AV59" s="5475"/>
      <c r="AW59" s="5338"/>
      <c r="AX59" s="2057"/>
      <c r="AY59" s="2057"/>
      <c r="AZ59" s="2058" t="str">
        <f>BA58&amp;"-"&amp;BC58</f>
        <v>46753,6452662037-47118,6454166667</v>
      </c>
      <c r="BA59" s="5475"/>
      <c r="BB59" s="5338"/>
      <c r="BC59" s="5475"/>
      <c r="BD59" s="5338"/>
      <c r="BE59" s="2218"/>
      <c r="BF59" s="5543"/>
      <c r="BG59" s="2129"/>
      <c r="BH59" s="2207"/>
      <c r="BI59" s="2207" t="str">
        <f t="shared" si="1"/>
        <v/>
      </c>
      <c r="BJ59" s="2207"/>
      <c r="BK59" s="2207"/>
      <c r="BL59" s="2054">
        <v>0</v>
      </c>
    </row>
    <row r="60" spans="1:64" s="4377" customFormat="1" ht="21" customHeight="1">
      <c r="A60" s="2197"/>
      <c r="B60" s="2197"/>
      <c r="C60" s="2197"/>
      <c r="D60" s="2197"/>
      <c r="E60" s="5470"/>
      <c r="F60" s="5470"/>
      <c r="G60" s="5470">
        <v>1</v>
      </c>
      <c r="H60" s="5470"/>
      <c r="I60" s="5472"/>
      <c r="J60" s="5471"/>
      <c r="K60" s="2197"/>
      <c r="L60" s="2198"/>
      <c r="M60" s="2208"/>
      <c r="N60" s="2208"/>
      <c r="O60" s="2208"/>
      <c r="P60" s="5473"/>
      <c r="Q60" s="5473"/>
      <c r="R60" s="2210"/>
      <c r="S60" s="2219"/>
      <c r="T60" s="2220" t="s">
        <v>576</v>
      </c>
      <c r="U60" s="2221"/>
      <c r="V60" s="2222"/>
      <c r="W60" s="2223"/>
      <c r="X60" s="2224"/>
      <c r="Y60" s="2225"/>
      <c r="Z60" s="2226"/>
      <c r="AA60" s="2227"/>
      <c r="AB60" s="2228"/>
      <c r="AC60" s="2229"/>
      <c r="AD60" s="2230"/>
      <c r="AE60" s="2231"/>
      <c r="AF60" s="2232"/>
      <c r="AG60" s="2233"/>
      <c r="AH60" s="2234"/>
      <c r="AI60" s="2235"/>
      <c r="AJ60" s="2236"/>
      <c r="AK60" s="2237"/>
      <c r="AL60" s="2238"/>
      <c r="AM60" s="2239"/>
      <c r="AN60" s="2240"/>
      <c r="AO60" s="2241"/>
      <c r="AP60" s="2242"/>
      <c r="AQ60" s="2243"/>
      <c r="AR60" s="2244"/>
      <c r="AS60" s="2245"/>
      <c r="AT60" s="2246"/>
      <c r="AU60" s="2247"/>
      <c r="AV60" s="2248"/>
      <c r="AW60" s="2249"/>
      <c r="AX60" s="2250"/>
      <c r="AY60" s="2251"/>
      <c r="AZ60" s="2252"/>
      <c r="BA60" s="2253"/>
      <c r="BB60" s="2254"/>
      <c r="BC60" s="2255"/>
      <c r="BD60" s="2256"/>
      <c r="BE60" s="2257"/>
      <c r="BF60" s="2206" t="s">
        <v>577</v>
      </c>
      <c r="BG60" s="2129"/>
      <c r="BH60" s="2207"/>
      <c r="BI60" s="2207" t="str">
        <f t="shared" si="1"/>
        <v>Добавить значение признака дифференциации</v>
      </c>
      <c r="BJ60" s="2207"/>
      <c r="BK60" s="2207"/>
      <c r="BL60" s="2054">
        <v>0</v>
      </c>
    </row>
    <row r="61" spans="1:64" s="4378" customFormat="1" ht="23.25" customHeight="1">
      <c r="A61" s="4309"/>
      <c r="B61" s="4309"/>
      <c r="C61" s="4309"/>
      <c r="D61" s="4309"/>
      <c r="E61" s="5470"/>
      <c r="F61" s="5470"/>
      <c r="G61" s="5470"/>
      <c r="H61" s="5470"/>
      <c r="I61" s="5472"/>
      <c r="J61" s="5471" t="str">
        <f>I56&amp;".2"</f>
        <v>1.1.2.1.2</v>
      </c>
      <c r="K61" s="4309"/>
      <c r="L61" s="4310" t="s">
        <v>499</v>
      </c>
      <c r="M61" s="4311"/>
      <c r="N61" s="4311"/>
      <c r="O61" s="4311"/>
      <c r="P61" s="5473"/>
      <c r="Q61" s="5553" t="s">
        <v>104</v>
      </c>
      <c r="R61" s="4312"/>
      <c r="S61" s="4313" t="str">
        <f>$J61</f>
        <v>1.1.2.1.2</v>
      </c>
      <c r="T61" s="4314" t="s">
        <v>500</v>
      </c>
      <c r="U61" s="4315"/>
      <c r="V61" s="5457"/>
      <c r="W61" s="5458"/>
      <c r="X61" s="5458"/>
      <c r="Y61" s="5458"/>
      <c r="Z61" s="5458"/>
      <c r="AA61" s="5458"/>
      <c r="AB61" s="5459"/>
      <c r="AC61" s="5457" t="s">
        <v>612</v>
      </c>
      <c r="AD61" s="5458"/>
      <c r="AE61" s="5458"/>
      <c r="AF61" s="5458"/>
      <c r="AG61" s="5458"/>
      <c r="AH61" s="5458"/>
      <c r="AI61" s="5458"/>
      <c r="AJ61" s="5457"/>
      <c r="AK61" s="5458"/>
      <c r="AL61" s="5458"/>
      <c r="AM61" s="5458"/>
      <c r="AN61" s="5458"/>
      <c r="AO61" s="5458"/>
      <c r="AP61" s="5459"/>
      <c r="AQ61" s="5457"/>
      <c r="AR61" s="5458"/>
      <c r="AS61" s="5458"/>
      <c r="AT61" s="5458"/>
      <c r="AU61" s="5458"/>
      <c r="AV61" s="5458"/>
      <c r="AW61" s="5459"/>
      <c r="AX61" s="5457"/>
      <c r="AY61" s="5458"/>
      <c r="AZ61" s="5458"/>
      <c r="BA61" s="5458"/>
      <c r="BB61" s="5458"/>
      <c r="BC61" s="5458"/>
      <c r="BD61" s="5554"/>
      <c r="BE61" s="5459"/>
      <c r="BF61" s="4316" t="s">
        <v>575</v>
      </c>
      <c r="BG61" s="4317"/>
      <c r="BH61" s="4318"/>
      <c r="BI61" s="4318" t="str">
        <f t="shared" si="1"/>
        <v>Группа потребителей</v>
      </c>
      <c r="BJ61" s="4318"/>
      <c r="BK61" s="4318"/>
      <c r="BL61" s="4319">
        <v>0</v>
      </c>
    </row>
    <row r="62" spans="1:64" s="4379" customFormat="1" ht="23.25" customHeight="1">
      <c r="A62" s="4309"/>
      <c r="B62" s="4309"/>
      <c r="C62" s="4309"/>
      <c r="D62" s="4309"/>
      <c r="E62" s="5470"/>
      <c r="F62" s="5470"/>
      <c r="G62" s="5470"/>
      <c r="H62" s="5470"/>
      <c r="I62" s="5472"/>
      <c r="J62" s="5472" t="str">
        <f>I56&amp;".1"</f>
        <v>1.1.2.1.1</v>
      </c>
      <c r="K62" s="5471" t="str">
        <f>J61&amp;".1"</f>
        <v>1.1.2.1.2.1</v>
      </c>
      <c r="L62" s="4310"/>
      <c r="M62" s="4311"/>
      <c r="N62" s="4311"/>
      <c r="O62" s="4311"/>
      <c r="P62" s="5473"/>
      <c r="Q62" s="5473"/>
      <c r="R62" s="4312">
        <v>1</v>
      </c>
      <c r="S62" s="4313" t="str">
        <f>$K62</f>
        <v>1.1.2.1.2.1</v>
      </c>
      <c r="T62" s="4321" t="s">
        <v>568</v>
      </c>
      <c r="U62" s="4315"/>
      <c r="V62" s="4322"/>
      <c r="W62" s="4322"/>
      <c r="X62" s="4323"/>
      <c r="Y62" s="5474"/>
      <c r="Z62" s="5338" t="s">
        <v>66</v>
      </c>
      <c r="AA62" s="5474"/>
      <c r="AB62" s="5338" t="s">
        <v>66</v>
      </c>
      <c r="AC62" s="4322">
        <v>31.33</v>
      </c>
      <c r="AD62" s="4322"/>
      <c r="AE62" s="4323"/>
      <c r="AF62" s="5474">
        <v>45658.63082175926</v>
      </c>
      <c r="AG62" s="5338" t="s">
        <v>66</v>
      </c>
      <c r="AH62" s="5476">
        <v>46022.630856481483</v>
      </c>
      <c r="AI62" s="5338" t="s">
        <v>66</v>
      </c>
      <c r="AJ62" s="4322">
        <v>30.38</v>
      </c>
      <c r="AK62" s="4322"/>
      <c r="AL62" s="4323"/>
      <c r="AM62" s="5474">
        <v>46023.631076388891</v>
      </c>
      <c r="AN62" s="5338" t="s">
        <v>66</v>
      </c>
      <c r="AO62" s="5474">
        <v>46387.631145833337</v>
      </c>
      <c r="AP62" s="5338" t="s">
        <v>66</v>
      </c>
      <c r="AQ62" s="4322">
        <v>31.27</v>
      </c>
      <c r="AR62" s="4322"/>
      <c r="AS62" s="4323"/>
      <c r="AT62" s="5474">
        <v>46388.631493055553</v>
      </c>
      <c r="AU62" s="5338" t="s">
        <v>66</v>
      </c>
      <c r="AV62" s="5474">
        <v>46752.631585648145</v>
      </c>
      <c r="AW62" s="5338" t="s">
        <v>66</v>
      </c>
      <c r="AX62" s="4322">
        <v>32.21</v>
      </c>
      <c r="AY62" s="4322"/>
      <c r="AZ62" s="4323"/>
      <c r="BA62" s="5474">
        <v>46753.632048611114</v>
      </c>
      <c r="BB62" s="5338" t="s">
        <v>66</v>
      </c>
      <c r="BC62" s="5474">
        <v>47118.63212962963</v>
      </c>
      <c r="BD62" s="5555" t="s">
        <v>66</v>
      </c>
      <c r="BE62" s="4324"/>
      <c r="BF62"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62" s="4317" t="e">
        <f ca="1">STRCHECKDATE(V63:BE63)</f>
        <v>#NAME?</v>
      </c>
      <c r="BH62" s="4318"/>
      <c r="BI62" s="4318" t="str">
        <f t="shared" si="1"/>
        <v>с НДС</v>
      </c>
      <c r="BJ62" s="4318"/>
      <c r="BK62" s="4318"/>
      <c r="BL62" s="4319">
        <v>0</v>
      </c>
    </row>
    <row r="63" spans="1:64" s="4380" customFormat="1" ht="14.25" customHeight="1">
      <c r="A63" s="4309"/>
      <c r="B63" s="4309"/>
      <c r="C63" s="4309"/>
      <c r="D63" s="4309"/>
      <c r="E63" s="5470"/>
      <c r="F63" s="5470"/>
      <c r="G63" s="5470"/>
      <c r="H63" s="5470"/>
      <c r="I63" s="5472"/>
      <c r="J63" s="5472" t="str">
        <f>I56&amp;".1"</f>
        <v>1.1.2.1.1</v>
      </c>
      <c r="K63" s="5471"/>
      <c r="L63" s="4310"/>
      <c r="M63" s="4311"/>
      <c r="N63" s="4311"/>
      <c r="O63" s="4311"/>
      <c r="P63" s="5473"/>
      <c r="Q63" s="5473"/>
      <c r="R63" s="4312"/>
      <c r="S63" s="4326"/>
      <c r="T63" s="4315"/>
      <c r="U63" s="4315"/>
      <c r="V63" s="4327"/>
      <c r="W63" s="4327"/>
      <c r="X63" s="4328" t="str">
        <f>Y62&amp;"-"&amp;AA62</f>
        <v>-</v>
      </c>
      <c r="Y63" s="5475"/>
      <c r="Z63" s="5338"/>
      <c r="AA63" s="5475"/>
      <c r="AB63" s="5338"/>
      <c r="AC63" s="4327"/>
      <c r="AD63" s="4327"/>
      <c r="AE63" s="4328" t="str">
        <f>AF62&amp;"-"&amp;AH62</f>
        <v>45658,6308217593-46022,6308564815</v>
      </c>
      <c r="AF63" s="5475"/>
      <c r="AG63" s="5338"/>
      <c r="AH63" s="5477"/>
      <c r="AI63" s="5338"/>
      <c r="AJ63" s="4327"/>
      <c r="AK63" s="4327"/>
      <c r="AL63" s="4328" t="str">
        <f>AM62&amp;"-"&amp;AO62</f>
        <v>46023,6310763889-46387,6311458333</v>
      </c>
      <c r="AM63" s="5475"/>
      <c r="AN63" s="5338"/>
      <c r="AO63" s="5475"/>
      <c r="AP63" s="5338"/>
      <c r="AQ63" s="4327"/>
      <c r="AR63" s="4327"/>
      <c r="AS63" s="4328" t="str">
        <f>AT62&amp;"-"&amp;AV62</f>
        <v>46388,6314930556-46752,6315856481</v>
      </c>
      <c r="AT63" s="5475"/>
      <c r="AU63" s="5338"/>
      <c r="AV63" s="5475"/>
      <c r="AW63" s="5338"/>
      <c r="AX63" s="4327"/>
      <c r="AY63" s="4327"/>
      <c r="AZ63" s="4328" t="str">
        <f>BA62&amp;"-"&amp;BC62</f>
        <v>46753,6320486111-47118,6321296296</v>
      </c>
      <c r="BA63" s="5475"/>
      <c r="BB63" s="5338"/>
      <c r="BC63" s="5475"/>
      <c r="BD63" s="5555"/>
      <c r="BE63" s="4329"/>
      <c r="BF63" s="5543"/>
      <c r="BG63" s="4317"/>
      <c r="BH63" s="4318"/>
      <c r="BI63" s="4318" t="str">
        <f t="shared" si="1"/>
        <v/>
      </c>
      <c r="BJ63" s="4318"/>
      <c r="BK63" s="4318"/>
      <c r="BL63" s="4319">
        <v>0</v>
      </c>
    </row>
    <row r="64" spans="1:64" s="4381" customFormat="1" ht="21" customHeight="1">
      <c r="A64" s="4309"/>
      <c r="B64" s="4309"/>
      <c r="C64" s="4309"/>
      <c r="D64" s="4309"/>
      <c r="E64" s="5470"/>
      <c r="F64" s="5470"/>
      <c r="G64" s="5470"/>
      <c r="H64" s="5470"/>
      <c r="I64" s="5472"/>
      <c r="J64" s="5471" t="str">
        <f>I56&amp;".1"</f>
        <v>1.1.2.1.1</v>
      </c>
      <c r="K64" s="4309"/>
      <c r="L64" s="4310"/>
      <c r="M64" s="4311"/>
      <c r="N64" s="4311"/>
      <c r="O64" s="4311"/>
      <c r="P64" s="5473"/>
      <c r="Q64" s="5473"/>
      <c r="R64" s="4331"/>
      <c r="S64" s="4382"/>
      <c r="T64" s="4383" t="s">
        <v>576</v>
      </c>
      <c r="U64" s="4384"/>
      <c r="V64" s="4385"/>
      <c r="W64" s="4386"/>
      <c r="X64" s="4387"/>
      <c r="Y64" s="4388"/>
      <c r="Z64" s="4389"/>
      <c r="AA64" s="4390"/>
      <c r="AB64" s="4391"/>
      <c r="AC64" s="4392"/>
      <c r="AD64" s="4393"/>
      <c r="AE64" s="4394"/>
      <c r="AF64" s="4395"/>
      <c r="AG64" s="4396"/>
      <c r="AH64" s="4397"/>
      <c r="AI64" s="4398"/>
      <c r="AJ64" s="4399"/>
      <c r="AK64" s="4400"/>
      <c r="AL64" s="4401"/>
      <c r="AM64" s="4402"/>
      <c r="AN64" s="4403"/>
      <c r="AO64" s="4404"/>
      <c r="AP64" s="4405"/>
      <c r="AQ64" s="4406"/>
      <c r="AR64" s="4407"/>
      <c r="AS64" s="4408"/>
      <c r="AT64" s="4409"/>
      <c r="AU64" s="4410"/>
      <c r="AV64" s="4411"/>
      <c r="AW64" s="4412"/>
      <c r="AX64" s="4413"/>
      <c r="AY64" s="4414"/>
      <c r="AZ64" s="4415"/>
      <c r="BA64" s="4416"/>
      <c r="BB64" s="4417"/>
      <c r="BC64" s="4418"/>
      <c r="BD64" s="4419"/>
      <c r="BE64" s="4420"/>
      <c r="BF64" s="4371" t="s">
        <v>577</v>
      </c>
      <c r="BG64" s="4317"/>
      <c r="BH64" s="4318"/>
      <c r="BI64" s="4318" t="str">
        <f t="shared" si="1"/>
        <v>Добавить значение признака дифференциации</v>
      </c>
      <c r="BJ64" s="4318"/>
      <c r="BK64" s="4318"/>
      <c r="BL64" s="4319">
        <v>0</v>
      </c>
    </row>
    <row r="65" spans="1:64" s="4421" customFormat="1" ht="21" customHeight="1">
      <c r="A65" s="2197"/>
      <c r="B65" s="2197"/>
      <c r="C65" s="2197"/>
      <c r="D65" s="2197"/>
      <c r="E65" s="5470"/>
      <c r="F65" s="5470"/>
      <c r="G65" s="5470">
        <v>1</v>
      </c>
      <c r="H65" s="5470"/>
      <c r="I65" s="5471"/>
      <c r="J65" s="2197"/>
      <c r="K65" s="2197"/>
      <c r="L65" s="2198"/>
      <c r="M65" s="2208"/>
      <c r="N65" s="2208"/>
      <c r="O65" s="2208"/>
      <c r="P65" s="5473"/>
      <c r="Q65" s="2209"/>
      <c r="R65" s="2210"/>
      <c r="S65" s="2258"/>
      <c r="T65" s="2259" t="s">
        <v>505</v>
      </c>
      <c r="U65" s="2260"/>
      <c r="V65" s="2261"/>
      <c r="W65" s="2262"/>
      <c r="X65" s="2263"/>
      <c r="Y65" s="2264"/>
      <c r="Z65" s="2265"/>
      <c r="AA65" s="2266"/>
      <c r="AB65" s="2267"/>
      <c r="AC65" s="2268"/>
      <c r="AD65" s="2269"/>
      <c r="AE65" s="2270"/>
      <c r="AF65" s="2271"/>
      <c r="AG65" s="2272"/>
      <c r="AH65" s="2273"/>
      <c r="AI65" s="2274"/>
      <c r="AJ65" s="2275"/>
      <c r="AK65" s="2276"/>
      <c r="AL65" s="2277"/>
      <c r="AM65" s="2278"/>
      <c r="AN65" s="2279"/>
      <c r="AO65" s="2280"/>
      <c r="AP65" s="2281"/>
      <c r="AQ65" s="2282"/>
      <c r="AR65" s="2283"/>
      <c r="AS65" s="2284"/>
      <c r="AT65" s="2285"/>
      <c r="AU65" s="2286"/>
      <c r="AV65" s="2287"/>
      <c r="AW65" s="2288"/>
      <c r="AX65" s="2289"/>
      <c r="AY65" s="2290"/>
      <c r="AZ65" s="2291"/>
      <c r="BA65" s="2292"/>
      <c r="BB65" s="2293"/>
      <c r="BC65" s="2294"/>
      <c r="BD65" s="2295"/>
      <c r="BE65" s="2296"/>
      <c r="BF65" s="2297"/>
      <c r="BG65" s="2129"/>
      <c r="BH65" s="2207"/>
      <c r="BI65" s="2207" t="str">
        <f t="shared" si="1"/>
        <v>Добавить группу потребителей</v>
      </c>
      <c r="BJ65" s="2207"/>
      <c r="BK65" s="2207"/>
      <c r="BL65" s="2054">
        <v>0</v>
      </c>
    </row>
    <row r="66" spans="1:64" s="4422" customFormat="1" ht="21" customHeight="1">
      <c r="A66" s="2197"/>
      <c r="B66" s="2197"/>
      <c r="C66" s="2197"/>
      <c r="D66" s="2197"/>
      <c r="E66" s="5470"/>
      <c r="F66" s="5470"/>
      <c r="G66" s="5470">
        <v>1</v>
      </c>
      <c r="H66" s="5469"/>
      <c r="I66" s="2197"/>
      <c r="J66" s="2197"/>
      <c r="K66" s="2197"/>
      <c r="L66" s="2198"/>
      <c r="M66" s="2199"/>
      <c r="N66" s="2199"/>
      <c r="O66" s="2123"/>
      <c r="P66" s="2298"/>
      <c r="Q66" s="2299"/>
      <c r="R66" s="2300"/>
      <c r="S66" s="2301"/>
      <c r="T66" s="2302" t="s">
        <v>578</v>
      </c>
      <c r="U66" s="2303"/>
      <c r="V66" s="2304"/>
      <c r="W66" s="2305"/>
      <c r="X66" s="2306"/>
      <c r="Y66" s="2307"/>
      <c r="Z66" s="2308"/>
      <c r="AA66" s="2309"/>
      <c r="AB66" s="2310"/>
      <c r="AC66" s="2311"/>
      <c r="AD66" s="2312"/>
      <c r="AE66" s="2313"/>
      <c r="AF66" s="2314"/>
      <c r="AG66" s="2315"/>
      <c r="AH66" s="2316"/>
      <c r="AI66" s="2317"/>
      <c r="AJ66" s="2318"/>
      <c r="AK66" s="2319"/>
      <c r="AL66" s="2320"/>
      <c r="AM66" s="2321"/>
      <c r="AN66" s="2322"/>
      <c r="AO66" s="2323"/>
      <c r="AP66" s="2324"/>
      <c r="AQ66" s="2325"/>
      <c r="AR66" s="2326"/>
      <c r="AS66" s="2327"/>
      <c r="AT66" s="2328"/>
      <c r="AU66" s="2329"/>
      <c r="AV66" s="2330"/>
      <c r="AW66" s="2331"/>
      <c r="AX66" s="2332"/>
      <c r="AY66" s="2333"/>
      <c r="AZ66" s="2334"/>
      <c r="BA66" s="2335"/>
      <c r="BB66" s="2336"/>
      <c r="BC66" s="2337"/>
      <c r="BD66" s="2338"/>
      <c r="BE66" s="2339"/>
      <c r="BF66" s="2340"/>
      <c r="BG66" s="2129"/>
      <c r="BH66" s="2207"/>
      <c r="BI66" s="2207" t="str">
        <f t="shared" si="1"/>
        <v>Добавить наименование признака дифференциации</v>
      </c>
      <c r="BJ66" s="2207"/>
      <c r="BK66" s="2207"/>
      <c r="BL66" s="2054">
        <v>0</v>
      </c>
    </row>
    <row r="67" spans="1:64" s="4423" customFormat="1" ht="23.25" customHeight="1">
      <c r="A67" s="2197"/>
      <c r="B67" s="2197"/>
      <c r="C67" s="2197" t="s">
        <v>304</v>
      </c>
      <c r="D67" s="2197"/>
      <c r="E67" s="5470"/>
      <c r="F67" s="5470"/>
      <c r="G67" s="5469" t="s">
        <v>90</v>
      </c>
      <c r="H67" s="2197"/>
      <c r="I67" s="2197"/>
      <c r="J67" s="2197"/>
      <c r="K67" s="2197"/>
      <c r="L67" s="2198"/>
      <c r="M67" s="2199"/>
      <c r="N67" s="2199"/>
      <c r="O67" s="2199"/>
      <c r="P67" s="2200"/>
      <c r="Q67" s="2201"/>
      <c r="R67" s="2202"/>
      <c r="S67" s="2203" t="str">
        <f>INDEX(PT_DIFFERENTIATION_NUM_CS,MATCH(C67,PT_DIFFERENTIATION_CS_ID,0))</f>
        <v>1.1.3</v>
      </c>
      <c r="T67" s="2204" t="s">
        <v>606</v>
      </c>
      <c r="U67" s="2205"/>
      <c r="V67" s="5463"/>
      <c r="W67" s="5464"/>
      <c r="X67" s="5464"/>
      <c r="Y67" s="5464"/>
      <c r="Z67" s="5464"/>
      <c r="AA67" s="5464"/>
      <c r="AB67" s="5465"/>
      <c r="AC67" s="5463" t="str">
        <f>INDEX(PT_DIFFERENTIATION_CS,MATCH(C67,PT_DIFFERENTIATION_CS_ID,0))</f>
        <v>пгт. Краскино</v>
      </c>
      <c r="AD67" s="5464"/>
      <c r="AE67" s="5464"/>
      <c r="AF67" s="5464"/>
      <c r="AG67" s="5464"/>
      <c r="AH67" s="5464"/>
      <c r="AI67" s="5464"/>
      <c r="AJ67" s="5463"/>
      <c r="AK67" s="5464"/>
      <c r="AL67" s="5464"/>
      <c r="AM67" s="5464"/>
      <c r="AN67" s="5464"/>
      <c r="AO67" s="5464"/>
      <c r="AP67" s="5465"/>
      <c r="AQ67" s="5463"/>
      <c r="AR67" s="5464"/>
      <c r="AS67" s="5464"/>
      <c r="AT67" s="5464"/>
      <c r="AU67" s="5464"/>
      <c r="AV67" s="5464"/>
      <c r="AW67" s="5465"/>
      <c r="AX67" s="5463"/>
      <c r="AY67" s="5464"/>
      <c r="AZ67" s="5464"/>
      <c r="BA67" s="5464"/>
      <c r="BB67" s="5464"/>
      <c r="BC67" s="5464"/>
      <c r="BD67" s="5465"/>
      <c r="BE67" s="5465"/>
      <c r="BF67" s="2206" t="s">
        <v>607</v>
      </c>
      <c r="BG67" s="2129"/>
      <c r="BH67" s="2207"/>
      <c r="BI67" s="2207" t="str">
        <f t="shared" si="1"/>
        <v>Наименование централизованной системы водоотведения</v>
      </c>
      <c r="BJ67" s="2207"/>
      <c r="BK67" s="2207"/>
      <c r="BL67" s="2054">
        <v>0</v>
      </c>
    </row>
    <row r="68" spans="1:64" s="4424" customFormat="1" ht="23.25" customHeight="1">
      <c r="A68" s="2197"/>
      <c r="B68" s="2197"/>
      <c r="C68" s="2197"/>
      <c r="D68" s="2197"/>
      <c r="E68" s="5470"/>
      <c r="F68" s="5470"/>
      <c r="G68" s="5470" t="s">
        <v>103</v>
      </c>
      <c r="H68" s="5470"/>
      <c r="I68" s="5471" t="str">
        <f>S67&amp;".1"</f>
        <v>1.1.3.1</v>
      </c>
      <c r="J68" s="2197"/>
      <c r="K68" s="2197"/>
      <c r="L68" s="2198"/>
      <c r="M68" s="2208"/>
      <c r="N68" s="2208"/>
      <c r="O68" s="2208"/>
      <c r="P68" s="5473">
        <v>1</v>
      </c>
      <c r="Q68" s="2209"/>
      <c r="R68" s="2210"/>
      <c r="S68" s="2203" t="str">
        <f>$I68</f>
        <v>1.1.3.1</v>
      </c>
      <c r="T68" s="2211" t="s">
        <v>573</v>
      </c>
      <c r="U68" s="2205"/>
      <c r="V68" s="5537"/>
      <c r="W68" s="5538"/>
      <c r="X68" s="5538"/>
      <c r="Y68" s="5538"/>
      <c r="Z68" s="5538"/>
      <c r="AA68" s="5538"/>
      <c r="AB68" s="5539"/>
      <c r="AC68" s="5540"/>
      <c r="AD68" s="5541"/>
      <c r="AE68" s="5541"/>
      <c r="AF68" s="5541"/>
      <c r="AG68" s="5541"/>
      <c r="AH68" s="5541"/>
      <c r="AI68" s="5541"/>
      <c r="AJ68" s="5537"/>
      <c r="AK68" s="5538"/>
      <c r="AL68" s="5538"/>
      <c r="AM68" s="5538"/>
      <c r="AN68" s="5538"/>
      <c r="AO68" s="5538"/>
      <c r="AP68" s="5539"/>
      <c r="AQ68" s="5537"/>
      <c r="AR68" s="5538"/>
      <c r="AS68" s="5538"/>
      <c r="AT68" s="5538"/>
      <c r="AU68" s="5538"/>
      <c r="AV68" s="5538"/>
      <c r="AW68" s="5539"/>
      <c r="AX68" s="5537"/>
      <c r="AY68" s="5538"/>
      <c r="AZ68" s="5538"/>
      <c r="BA68" s="5538"/>
      <c r="BB68" s="5538"/>
      <c r="BC68" s="5538"/>
      <c r="BD68" s="5539"/>
      <c r="BE68" s="5542"/>
      <c r="BF68" s="2206" t="s">
        <v>574</v>
      </c>
      <c r="BG68" s="2129"/>
      <c r="BH68" s="2207"/>
      <c r="BI68" s="2207" t="str">
        <f t="shared" si="1"/>
        <v>Наименование признака дифференциации</v>
      </c>
      <c r="BJ68" s="2207"/>
      <c r="BK68" s="2207"/>
      <c r="BL68" s="2054">
        <v>0</v>
      </c>
    </row>
    <row r="69" spans="1:64" s="4425" customFormat="1" ht="23.25" customHeight="1">
      <c r="A69" s="2197"/>
      <c r="B69" s="2197"/>
      <c r="C69" s="2197"/>
      <c r="D69" s="2197"/>
      <c r="E69" s="5470"/>
      <c r="F69" s="5470"/>
      <c r="G69" s="5470" t="s">
        <v>103</v>
      </c>
      <c r="H69" s="5470"/>
      <c r="I69" s="5472"/>
      <c r="J69" s="5471" t="str">
        <f>I68&amp;".1"</f>
        <v>1.1.3.1.1</v>
      </c>
      <c r="K69" s="2197"/>
      <c r="L69" s="2198" t="s">
        <v>499</v>
      </c>
      <c r="M69" s="2208"/>
      <c r="N69" s="2208"/>
      <c r="O69" s="2208"/>
      <c r="P69" s="5473"/>
      <c r="Q69" s="5473">
        <v>1</v>
      </c>
      <c r="R69" s="2212"/>
      <c r="S69" s="2203" t="str">
        <f>$J69</f>
        <v>1.1.3.1.1</v>
      </c>
      <c r="T69" s="2213" t="s">
        <v>500</v>
      </c>
      <c r="U69" s="2205"/>
      <c r="V69" s="5457"/>
      <c r="W69" s="5458"/>
      <c r="X69" s="5458"/>
      <c r="Y69" s="5458"/>
      <c r="Z69" s="5458"/>
      <c r="AA69" s="5458"/>
      <c r="AB69" s="5459"/>
      <c r="AC69" s="5457" t="s">
        <v>611</v>
      </c>
      <c r="AD69" s="5458"/>
      <c r="AE69" s="5458"/>
      <c r="AF69" s="5458"/>
      <c r="AG69" s="5458"/>
      <c r="AH69" s="5458"/>
      <c r="AI69" s="5458"/>
      <c r="AJ69" s="5457"/>
      <c r="AK69" s="5458"/>
      <c r="AL69" s="5458"/>
      <c r="AM69" s="5458"/>
      <c r="AN69" s="5458"/>
      <c r="AO69" s="5458"/>
      <c r="AP69" s="5459"/>
      <c r="AQ69" s="5457"/>
      <c r="AR69" s="5458"/>
      <c r="AS69" s="5458"/>
      <c r="AT69" s="5458"/>
      <c r="AU69" s="5458"/>
      <c r="AV69" s="5458"/>
      <c r="AW69" s="5459"/>
      <c r="AX69" s="5457"/>
      <c r="AY69" s="5458"/>
      <c r="AZ69" s="5458"/>
      <c r="BA69" s="5458"/>
      <c r="BB69" s="5458"/>
      <c r="BC69" s="5458"/>
      <c r="BD69" s="5459"/>
      <c r="BE69" s="5459"/>
      <c r="BF69" s="2214" t="s">
        <v>575</v>
      </c>
      <c r="BG69" s="2129"/>
      <c r="BH69" s="2207"/>
      <c r="BI69" s="2207" t="str">
        <f t="shared" si="1"/>
        <v>Группа потребителей</v>
      </c>
      <c r="BJ69" s="2207"/>
      <c r="BK69" s="2207"/>
      <c r="BL69" s="2054">
        <v>0</v>
      </c>
    </row>
    <row r="70" spans="1:64" s="4426" customFormat="1" ht="23.25" customHeight="1">
      <c r="A70" s="2197"/>
      <c r="B70" s="2197"/>
      <c r="C70" s="2197"/>
      <c r="D70" s="2197"/>
      <c r="E70" s="5470"/>
      <c r="F70" s="5470"/>
      <c r="G70" s="5470" t="s">
        <v>103</v>
      </c>
      <c r="H70" s="5470"/>
      <c r="I70" s="5472"/>
      <c r="J70" s="5472"/>
      <c r="K70" s="5471" t="str">
        <f>J69&amp;".1"</f>
        <v>1.1.3.1.1.1</v>
      </c>
      <c r="L70" s="2198"/>
      <c r="M70" s="2208"/>
      <c r="N70" s="2208"/>
      <c r="O70" s="2208"/>
      <c r="P70" s="5473"/>
      <c r="Q70" s="5473"/>
      <c r="R70" s="2212">
        <v>1</v>
      </c>
      <c r="S70" s="2203" t="str">
        <f>$K70</f>
        <v>1.1.3.1.1.1</v>
      </c>
      <c r="T70" s="2215" t="s">
        <v>569</v>
      </c>
      <c r="U70" s="2205"/>
      <c r="V70" s="2055"/>
      <c r="W70" s="2055"/>
      <c r="X70" s="2056"/>
      <c r="Y70" s="5474"/>
      <c r="Z70" s="5338" t="s">
        <v>66</v>
      </c>
      <c r="AA70" s="5474"/>
      <c r="AB70" s="5338" t="s">
        <v>66</v>
      </c>
      <c r="AC70" s="2055">
        <v>53.97</v>
      </c>
      <c r="AD70" s="2055"/>
      <c r="AE70" s="2056"/>
      <c r="AF70" s="5474">
        <v>45658.612303240741</v>
      </c>
      <c r="AG70" s="5338" t="s">
        <v>66</v>
      </c>
      <c r="AH70" s="5476">
        <v>46022.612407407411</v>
      </c>
      <c r="AI70" s="5338" t="s">
        <v>66</v>
      </c>
      <c r="AJ70" s="2055">
        <v>54.39</v>
      </c>
      <c r="AK70" s="2055"/>
      <c r="AL70" s="2056"/>
      <c r="AM70" s="5474">
        <v>46023.644386574073</v>
      </c>
      <c r="AN70" s="5338" t="s">
        <v>66</v>
      </c>
      <c r="AO70" s="5474">
        <v>46387.644201388888</v>
      </c>
      <c r="AP70" s="5338" t="s">
        <v>66</v>
      </c>
      <c r="AQ70" s="2055">
        <v>56</v>
      </c>
      <c r="AR70" s="2055"/>
      <c r="AS70" s="2056"/>
      <c r="AT70" s="5474">
        <v>46388.64402777778</v>
      </c>
      <c r="AU70" s="5338" t="s">
        <v>66</v>
      </c>
      <c r="AV70" s="5474">
        <v>46752.643935185188</v>
      </c>
      <c r="AW70" s="5338" t="s">
        <v>66</v>
      </c>
      <c r="AX70" s="2055">
        <v>57.65</v>
      </c>
      <c r="AY70" s="2055"/>
      <c r="AZ70" s="2056"/>
      <c r="BA70" s="5474">
        <v>46753.643807870372</v>
      </c>
      <c r="BB70" s="5338" t="s">
        <v>66</v>
      </c>
      <c r="BC70" s="5474">
        <v>47118.643703703703</v>
      </c>
      <c r="BD70" s="5338" t="s">
        <v>66</v>
      </c>
      <c r="BE70" s="2216"/>
      <c r="BF70"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0" s="2129" t="e">
        <f ca="1">STRCHECKDATE(V71:BE71)</f>
        <v>#NAME?</v>
      </c>
      <c r="BH70" s="2207"/>
      <c r="BI70" s="2207" t="str">
        <f t="shared" si="1"/>
        <v>без НДС</v>
      </c>
      <c r="BJ70" s="2207"/>
      <c r="BK70" s="2207"/>
      <c r="BL70" s="2054">
        <v>0</v>
      </c>
    </row>
    <row r="71" spans="1:64" s="4427" customFormat="1" ht="14.25" customHeight="1">
      <c r="A71" s="2197"/>
      <c r="B71" s="2197"/>
      <c r="C71" s="2197"/>
      <c r="D71" s="2197"/>
      <c r="E71" s="5470"/>
      <c r="F71" s="5470"/>
      <c r="G71" s="5470" t="s">
        <v>103</v>
      </c>
      <c r="H71" s="5470"/>
      <c r="I71" s="5472"/>
      <c r="J71" s="5472"/>
      <c r="K71" s="5471"/>
      <c r="L71" s="2198"/>
      <c r="M71" s="2208"/>
      <c r="N71" s="2208"/>
      <c r="O71" s="2208"/>
      <c r="P71" s="5473"/>
      <c r="Q71" s="5473"/>
      <c r="R71" s="2212"/>
      <c r="S71" s="2217"/>
      <c r="T71" s="2205"/>
      <c r="U71" s="2205"/>
      <c r="V71" s="2057"/>
      <c r="W71" s="2057"/>
      <c r="X71" s="2058" t="str">
        <f>Y70&amp;"-"&amp;AA70</f>
        <v>-</v>
      </c>
      <c r="Y71" s="5475"/>
      <c r="Z71" s="5338"/>
      <c r="AA71" s="5475"/>
      <c r="AB71" s="5338"/>
      <c r="AC71" s="2057"/>
      <c r="AD71" s="2057"/>
      <c r="AE71" s="2058" t="str">
        <f>AF70&amp;"-"&amp;AH70</f>
        <v>45658,6123032407-46022,6124074074</v>
      </c>
      <c r="AF71" s="5475"/>
      <c r="AG71" s="5338"/>
      <c r="AH71" s="5477"/>
      <c r="AI71" s="5338"/>
      <c r="AJ71" s="2057"/>
      <c r="AK71" s="2057"/>
      <c r="AL71" s="2058" t="str">
        <f>AM70&amp;"-"&amp;AO70</f>
        <v>46023,6443865741-46387,6442013889</v>
      </c>
      <c r="AM71" s="5475"/>
      <c r="AN71" s="5338"/>
      <c r="AO71" s="5475"/>
      <c r="AP71" s="5338"/>
      <c r="AQ71" s="2057"/>
      <c r="AR71" s="2057"/>
      <c r="AS71" s="2058" t="str">
        <f>AT70&amp;"-"&amp;AV70</f>
        <v>46388,6440277778-46752,6439351852</v>
      </c>
      <c r="AT71" s="5475"/>
      <c r="AU71" s="5338"/>
      <c r="AV71" s="5475"/>
      <c r="AW71" s="5338"/>
      <c r="AX71" s="2057"/>
      <c r="AY71" s="2057"/>
      <c r="AZ71" s="2058" t="str">
        <f>BA70&amp;"-"&amp;BC70</f>
        <v>46753,6438078704-47118,6437037037</v>
      </c>
      <c r="BA71" s="5475"/>
      <c r="BB71" s="5338"/>
      <c r="BC71" s="5475"/>
      <c r="BD71" s="5338"/>
      <c r="BE71" s="2218"/>
      <c r="BF71" s="5543"/>
      <c r="BG71" s="2129"/>
      <c r="BH71" s="2207"/>
      <c r="BI71" s="2207" t="str">
        <f t="shared" si="1"/>
        <v/>
      </c>
      <c r="BJ71" s="2207"/>
      <c r="BK71" s="2207"/>
      <c r="BL71" s="2054">
        <v>0</v>
      </c>
    </row>
    <row r="72" spans="1:64" s="4428" customFormat="1" ht="21" customHeight="1">
      <c r="A72" s="2197"/>
      <c r="B72" s="2197"/>
      <c r="C72" s="2197"/>
      <c r="D72" s="2197"/>
      <c r="E72" s="5470"/>
      <c r="F72" s="5470"/>
      <c r="G72" s="5470" t="s">
        <v>103</v>
      </c>
      <c r="H72" s="5470"/>
      <c r="I72" s="5472"/>
      <c r="J72" s="5471"/>
      <c r="K72" s="2197"/>
      <c r="L72" s="2198"/>
      <c r="M72" s="2208"/>
      <c r="N72" s="2208"/>
      <c r="O72" s="2208"/>
      <c r="P72" s="5473"/>
      <c r="Q72" s="5473"/>
      <c r="R72" s="2210"/>
      <c r="S72" s="2341"/>
      <c r="T72" s="2342" t="s">
        <v>576</v>
      </c>
      <c r="U72" s="2343"/>
      <c r="V72" s="2344"/>
      <c r="W72" s="2345"/>
      <c r="X72" s="2346"/>
      <c r="Y72" s="2347"/>
      <c r="Z72" s="2348"/>
      <c r="AA72" s="2349"/>
      <c r="AB72" s="2350"/>
      <c r="AC72" s="2351"/>
      <c r="AD72" s="2352"/>
      <c r="AE72" s="2353"/>
      <c r="AF72" s="2354"/>
      <c r="AG72" s="2355"/>
      <c r="AH72" s="2356"/>
      <c r="AI72" s="2357"/>
      <c r="AJ72" s="2358"/>
      <c r="AK72" s="2359"/>
      <c r="AL72" s="2360"/>
      <c r="AM72" s="2361"/>
      <c r="AN72" s="2362"/>
      <c r="AO72" s="2363"/>
      <c r="AP72" s="2364"/>
      <c r="AQ72" s="2365"/>
      <c r="AR72" s="2366"/>
      <c r="AS72" s="2367"/>
      <c r="AT72" s="2368"/>
      <c r="AU72" s="2369"/>
      <c r="AV72" s="2370"/>
      <c r="AW72" s="2371"/>
      <c r="AX72" s="2372"/>
      <c r="AY72" s="2373"/>
      <c r="AZ72" s="2374"/>
      <c r="BA72" s="2375"/>
      <c r="BB72" s="2376"/>
      <c r="BC72" s="2377"/>
      <c r="BD72" s="2378"/>
      <c r="BE72" s="2379"/>
      <c r="BF72" s="2206" t="s">
        <v>577</v>
      </c>
      <c r="BG72" s="2129"/>
      <c r="BH72" s="2207"/>
      <c r="BI72" s="2207" t="str">
        <f t="shared" si="1"/>
        <v>Добавить значение признака дифференциации</v>
      </c>
      <c r="BJ72" s="2207"/>
      <c r="BK72" s="2207"/>
      <c r="BL72" s="2054">
        <v>0</v>
      </c>
    </row>
    <row r="73" spans="1:64" s="4429" customFormat="1" ht="23.25" customHeight="1">
      <c r="A73" s="4309"/>
      <c r="B73" s="4309"/>
      <c r="C73" s="4309"/>
      <c r="D73" s="4309"/>
      <c r="E73" s="5470"/>
      <c r="F73" s="5470"/>
      <c r="G73" s="5470"/>
      <c r="H73" s="5470"/>
      <c r="I73" s="5472"/>
      <c r="J73" s="5471" t="str">
        <f>I68&amp;".2"</f>
        <v>1.1.3.1.2</v>
      </c>
      <c r="K73" s="4309"/>
      <c r="L73" s="4310" t="s">
        <v>499</v>
      </c>
      <c r="M73" s="4311"/>
      <c r="N73" s="4311"/>
      <c r="O73" s="4311"/>
      <c r="P73" s="5473"/>
      <c r="Q73" s="5553" t="s">
        <v>104</v>
      </c>
      <c r="R73" s="4312"/>
      <c r="S73" s="4313" t="str">
        <f>$J73</f>
        <v>1.1.3.1.2</v>
      </c>
      <c r="T73" s="4314" t="s">
        <v>500</v>
      </c>
      <c r="U73" s="4315"/>
      <c r="V73" s="5457"/>
      <c r="W73" s="5458"/>
      <c r="X73" s="5458"/>
      <c r="Y73" s="5458"/>
      <c r="Z73" s="5458"/>
      <c r="AA73" s="5458"/>
      <c r="AB73" s="5459"/>
      <c r="AC73" s="5457" t="s">
        <v>612</v>
      </c>
      <c r="AD73" s="5458"/>
      <c r="AE73" s="5458"/>
      <c r="AF73" s="5458"/>
      <c r="AG73" s="5458"/>
      <c r="AH73" s="5458"/>
      <c r="AI73" s="5458"/>
      <c r="AJ73" s="5457"/>
      <c r="AK73" s="5458"/>
      <c r="AL73" s="5458"/>
      <c r="AM73" s="5458"/>
      <c r="AN73" s="5458"/>
      <c r="AO73" s="5458"/>
      <c r="AP73" s="5459"/>
      <c r="AQ73" s="5457"/>
      <c r="AR73" s="5458"/>
      <c r="AS73" s="5458"/>
      <c r="AT73" s="5458"/>
      <c r="AU73" s="5458"/>
      <c r="AV73" s="5458"/>
      <c r="AW73" s="5459"/>
      <c r="AX73" s="5457"/>
      <c r="AY73" s="5458"/>
      <c r="AZ73" s="5458"/>
      <c r="BA73" s="5458"/>
      <c r="BB73" s="5458"/>
      <c r="BC73" s="5458"/>
      <c r="BD73" s="5554"/>
      <c r="BE73" s="5459"/>
      <c r="BF73" s="4316" t="s">
        <v>575</v>
      </c>
      <c r="BG73" s="4317"/>
      <c r="BH73" s="4318"/>
      <c r="BI73" s="4318" t="str">
        <f t="shared" si="1"/>
        <v>Группа потребителей</v>
      </c>
      <c r="BJ73" s="4318"/>
      <c r="BK73" s="4318"/>
      <c r="BL73" s="4319">
        <v>0</v>
      </c>
    </row>
    <row r="74" spans="1:64" s="4430" customFormat="1" ht="23.25" customHeight="1">
      <c r="A74" s="4309"/>
      <c r="B74" s="4309"/>
      <c r="C74" s="4309"/>
      <c r="D74" s="4309"/>
      <c r="E74" s="5470"/>
      <c r="F74" s="5470"/>
      <c r="G74" s="5470"/>
      <c r="H74" s="5470"/>
      <c r="I74" s="5472"/>
      <c r="J74" s="5472" t="str">
        <f>I68&amp;".1"</f>
        <v>1.1.3.1.1</v>
      </c>
      <c r="K74" s="5471" t="str">
        <f>J73&amp;".1"</f>
        <v>1.1.3.1.2.1</v>
      </c>
      <c r="L74" s="4310"/>
      <c r="M74" s="4311"/>
      <c r="N74" s="4311"/>
      <c r="O74" s="4311"/>
      <c r="P74" s="5473"/>
      <c r="Q74" s="5473"/>
      <c r="R74" s="4312">
        <v>1</v>
      </c>
      <c r="S74" s="4313" t="str">
        <f>$K74</f>
        <v>1.1.3.1.2.1</v>
      </c>
      <c r="T74" s="4321" t="s">
        <v>568</v>
      </c>
      <c r="U74" s="4315"/>
      <c r="V74" s="4322"/>
      <c r="W74" s="4322"/>
      <c r="X74" s="4323"/>
      <c r="Y74" s="5474"/>
      <c r="Z74" s="5338" t="s">
        <v>66</v>
      </c>
      <c r="AA74" s="5474"/>
      <c r="AB74" s="5338" t="s">
        <v>66</v>
      </c>
      <c r="AC74" s="4322">
        <v>64.760000000000005</v>
      </c>
      <c r="AD74" s="4322"/>
      <c r="AE74" s="4323"/>
      <c r="AF74" s="5474">
        <v>45658.633437500001</v>
      </c>
      <c r="AG74" s="5338" t="s">
        <v>66</v>
      </c>
      <c r="AH74" s="5476">
        <v>45658.633564814816</v>
      </c>
      <c r="AI74" s="5338" t="s">
        <v>66</v>
      </c>
      <c r="AJ74" s="4322">
        <v>65.27</v>
      </c>
      <c r="AK74" s="4322"/>
      <c r="AL74" s="4323"/>
      <c r="AM74" s="5474">
        <v>46023.633958333332</v>
      </c>
      <c r="AN74" s="5338" t="s">
        <v>66</v>
      </c>
      <c r="AO74" s="5474">
        <v>46387.634143518517</v>
      </c>
      <c r="AP74" s="5338" t="s">
        <v>66</v>
      </c>
      <c r="AQ74" s="4322">
        <v>67.2</v>
      </c>
      <c r="AR74" s="4322"/>
      <c r="AS74" s="4323"/>
      <c r="AT74" s="5474">
        <v>46388.634409722225</v>
      </c>
      <c r="AU74" s="5338" t="s">
        <v>66</v>
      </c>
      <c r="AV74" s="5474">
        <v>46752.634525462963</v>
      </c>
      <c r="AW74" s="5338" t="s">
        <v>66</v>
      </c>
      <c r="AX74" s="4322">
        <v>69.180000000000007</v>
      </c>
      <c r="AY74" s="4322"/>
      <c r="AZ74" s="4323"/>
      <c r="BA74" s="5474">
        <v>46753.634942129633</v>
      </c>
      <c r="BB74" s="5338" t="s">
        <v>66</v>
      </c>
      <c r="BC74" s="5474">
        <v>47118.635034722225</v>
      </c>
      <c r="BD74" s="5555" t="s">
        <v>66</v>
      </c>
      <c r="BE74" s="4324"/>
      <c r="BF74"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4" s="4317" t="e">
        <f ca="1">STRCHECKDATE(V75:BE75)</f>
        <v>#NAME?</v>
      </c>
      <c r="BH74" s="4318"/>
      <c r="BI74" s="4318" t="str">
        <f t="shared" si="1"/>
        <v>с НДС</v>
      </c>
      <c r="BJ74" s="4318"/>
      <c r="BK74" s="4318"/>
      <c r="BL74" s="4319">
        <v>0</v>
      </c>
    </row>
    <row r="75" spans="1:64" s="4431" customFormat="1" ht="14.25" customHeight="1">
      <c r="A75" s="4309"/>
      <c r="B75" s="4309"/>
      <c r="C75" s="4309"/>
      <c r="D75" s="4309"/>
      <c r="E75" s="5470"/>
      <c r="F75" s="5470"/>
      <c r="G75" s="5470"/>
      <c r="H75" s="5470"/>
      <c r="I75" s="5472"/>
      <c r="J75" s="5472" t="str">
        <f>I68&amp;".1"</f>
        <v>1.1.3.1.1</v>
      </c>
      <c r="K75" s="5471"/>
      <c r="L75" s="4310"/>
      <c r="M75" s="4311"/>
      <c r="N75" s="4311"/>
      <c r="O75" s="4311"/>
      <c r="P75" s="5473"/>
      <c r="Q75" s="5473"/>
      <c r="R75" s="4312"/>
      <c r="S75" s="4326"/>
      <c r="T75" s="4315"/>
      <c r="U75" s="4315"/>
      <c r="V75" s="4327"/>
      <c r="W75" s="4327"/>
      <c r="X75" s="4328" t="str">
        <f>Y74&amp;"-"&amp;AA74</f>
        <v>-</v>
      </c>
      <c r="Y75" s="5475"/>
      <c r="Z75" s="5338"/>
      <c r="AA75" s="5475"/>
      <c r="AB75" s="5338"/>
      <c r="AC75" s="4327"/>
      <c r="AD75" s="4327"/>
      <c r="AE75" s="4328" t="str">
        <f>AF74&amp;"-"&amp;AH74</f>
        <v>45658,6334375-45658,6335648148</v>
      </c>
      <c r="AF75" s="5475"/>
      <c r="AG75" s="5338"/>
      <c r="AH75" s="5477"/>
      <c r="AI75" s="5338"/>
      <c r="AJ75" s="4327"/>
      <c r="AK75" s="4327"/>
      <c r="AL75" s="4328" t="str">
        <f>AM74&amp;"-"&amp;AO74</f>
        <v>46023,6339583333-46387,6341435185</v>
      </c>
      <c r="AM75" s="5475"/>
      <c r="AN75" s="5338"/>
      <c r="AO75" s="5475"/>
      <c r="AP75" s="5338"/>
      <c r="AQ75" s="4327"/>
      <c r="AR75" s="4327"/>
      <c r="AS75" s="4328" t="str">
        <f>AT74&amp;"-"&amp;AV74</f>
        <v>46388,6344097222-46752,634525463</v>
      </c>
      <c r="AT75" s="5475"/>
      <c r="AU75" s="5338"/>
      <c r="AV75" s="5475"/>
      <c r="AW75" s="5338"/>
      <c r="AX75" s="4327"/>
      <c r="AY75" s="4327"/>
      <c r="AZ75" s="4328" t="str">
        <f>BA74&amp;"-"&amp;BC74</f>
        <v>46753,6349421296-47118,6350347222</v>
      </c>
      <c r="BA75" s="5475"/>
      <c r="BB75" s="5338"/>
      <c r="BC75" s="5475"/>
      <c r="BD75" s="5555"/>
      <c r="BE75" s="4329"/>
      <c r="BF75" s="5543"/>
      <c r="BG75" s="4317"/>
      <c r="BH75" s="4318"/>
      <c r="BI75" s="4318" t="str">
        <f t="shared" si="1"/>
        <v/>
      </c>
      <c r="BJ75" s="4318"/>
      <c r="BK75" s="4318"/>
      <c r="BL75" s="4319">
        <v>0</v>
      </c>
    </row>
    <row r="76" spans="1:64" s="4432" customFormat="1" ht="21" customHeight="1">
      <c r="A76" s="4309"/>
      <c r="B76" s="4309"/>
      <c r="C76" s="4309"/>
      <c r="D76" s="4309"/>
      <c r="E76" s="5470"/>
      <c r="F76" s="5470"/>
      <c r="G76" s="5470"/>
      <c r="H76" s="5470"/>
      <c r="I76" s="5472"/>
      <c r="J76" s="5471" t="str">
        <f>I68&amp;".1"</f>
        <v>1.1.3.1.1</v>
      </c>
      <c r="K76" s="4309"/>
      <c r="L76" s="4310"/>
      <c r="M76" s="4311"/>
      <c r="N76" s="4311"/>
      <c r="O76" s="4311"/>
      <c r="P76" s="5473"/>
      <c r="Q76" s="5473"/>
      <c r="R76" s="4331"/>
      <c r="S76" s="4433"/>
      <c r="T76" s="4434" t="s">
        <v>576</v>
      </c>
      <c r="U76" s="4435"/>
      <c r="V76" s="4436"/>
      <c r="W76" s="4437"/>
      <c r="X76" s="4438"/>
      <c r="Y76" s="4439"/>
      <c r="Z76" s="4440"/>
      <c r="AA76" s="4441"/>
      <c r="AB76" s="4442"/>
      <c r="AC76" s="4443"/>
      <c r="AD76" s="4444"/>
      <c r="AE76" s="4445"/>
      <c r="AF76" s="4446"/>
      <c r="AG76" s="4447"/>
      <c r="AH76" s="4448"/>
      <c r="AI76" s="4449"/>
      <c r="AJ76" s="4450"/>
      <c r="AK76" s="4451"/>
      <c r="AL76" s="4452"/>
      <c r="AM76" s="4453"/>
      <c r="AN76" s="4454"/>
      <c r="AO76" s="4455"/>
      <c r="AP76" s="4456"/>
      <c r="AQ76" s="4457"/>
      <c r="AR76" s="4458"/>
      <c r="AS76" s="4459"/>
      <c r="AT76" s="4460"/>
      <c r="AU76" s="4461"/>
      <c r="AV76" s="4462"/>
      <c r="AW76" s="4463"/>
      <c r="AX76" s="4464"/>
      <c r="AY76" s="4465"/>
      <c r="AZ76" s="4466"/>
      <c r="BA76" s="4467"/>
      <c r="BB76" s="4468"/>
      <c r="BC76" s="4469"/>
      <c r="BD76" s="4470"/>
      <c r="BE76" s="4471"/>
      <c r="BF76" s="4371" t="s">
        <v>577</v>
      </c>
      <c r="BG76" s="4317"/>
      <c r="BH76" s="4318"/>
      <c r="BI76" s="4318" t="str">
        <f t="shared" si="1"/>
        <v>Добавить значение признака дифференциации</v>
      </c>
      <c r="BJ76" s="4318"/>
      <c r="BK76" s="4318"/>
      <c r="BL76" s="4319">
        <v>0</v>
      </c>
    </row>
    <row r="77" spans="1:64" s="4472" customFormat="1" ht="21" customHeight="1">
      <c r="A77" s="2197"/>
      <c r="B77" s="2197"/>
      <c r="C77" s="2197"/>
      <c r="D77" s="2197"/>
      <c r="E77" s="5470"/>
      <c r="F77" s="5470"/>
      <c r="G77" s="5470" t="s">
        <v>103</v>
      </c>
      <c r="H77" s="5470"/>
      <c r="I77" s="5471"/>
      <c r="J77" s="2197"/>
      <c r="K77" s="2197"/>
      <c r="L77" s="2198"/>
      <c r="M77" s="2208"/>
      <c r="N77" s="2208"/>
      <c r="O77" s="2208"/>
      <c r="P77" s="5473"/>
      <c r="Q77" s="2209"/>
      <c r="R77" s="2210"/>
      <c r="S77" s="2380"/>
      <c r="T77" s="2381" t="s">
        <v>505</v>
      </c>
      <c r="U77" s="2382"/>
      <c r="V77" s="2383"/>
      <c r="W77" s="2384"/>
      <c r="X77" s="2385"/>
      <c r="Y77" s="2386"/>
      <c r="Z77" s="2387"/>
      <c r="AA77" s="2388"/>
      <c r="AB77" s="2389"/>
      <c r="AC77" s="2390"/>
      <c r="AD77" s="2391"/>
      <c r="AE77" s="2392"/>
      <c r="AF77" s="2393"/>
      <c r="AG77" s="2394"/>
      <c r="AH77" s="2395"/>
      <c r="AI77" s="2396"/>
      <c r="AJ77" s="2397"/>
      <c r="AK77" s="2398"/>
      <c r="AL77" s="2399"/>
      <c r="AM77" s="2400"/>
      <c r="AN77" s="2401"/>
      <c r="AO77" s="2402"/>
      <c r="AP77" s="2403"/>
      <c r="AQ77" s="2404"/>
      <c r="AR77" s="2405"/>
      <c r="AS77" s="2406"/>
      <c r="AT77" s="2407"/>
      <c r="AU77" s="2408"/>
      <c r="AV77" s="2409"/>
      <c r="AW77" s="2410"/>
      <c r="AX77" s="2411"/>
      <c r="AY77" s="2412"/>
      <c r="AZ77" s="2413"/>
      <c r="BA77" s="2414"/>
      <c r="BB77" s="2415"/>
      <c r="BC77" s="2416"/>
      <c r="BD77" s="2417"/>
      <c r="BE77" s="2418"/>
      <c r="BF77" s="2419"/>
      <c r="BG77" s="2129"/>
      <c r="BH77" s="2207"/>
      <c r="BI77" s="2207" t="str">
        <f t="shared" si="1"/>
        <v>Добавить группу потребителей</v>
      </c>
      <c r="BJ77" s="2207"/>
      <c r="BK77" s="2207"/>
      <c r="BL77" s="2054">
        <v>0</v>
      </c>
    </row>
    <row r="78" spans="1:64" s="4473" customFormat="1" ht="21" customHeight="1">
      <c r="A78" s="2197"/>
      <c r="B78" s="2197"/>
      <c r="C78" s="2197"/>
      <c r="D78" s="2197"/>
      <c r="E78" s="5470"/>
      <c r="F78" s="5470"/>
      <c r="G78" s="5470" t="s">
        <v>103</v>
      </c>
      <c r="H78" s="5469"/>
      <c r="I78" s="2197"/>
      <c r="J78" s="2197"/>
      <c r="K78" s="2197"/>
      <c r="L78" s="2198"/>
      <c r="M78" s="2199"/>
      <c r="N78" s="2199"/>
      <c r="O78" s="2123"/>
      <c r="P78" s="2298"/>
      <c r="Q78" s="2299"/>
      <c r="R78" s="2300"/>
      <c r="S78" s="2420"/>
      <c r="T78" s="2421" t="s">
        <v>578</v>
      </c>
      <c r="U78" s="2422"/>
      <c r="V78" s="2423"/>
      <c r="W78" s="2424"/>
      <c r="X78" s="2425"/>
      <c r="Y78" s="2426"/>
      <c r="Z78" s="2427"/>
      <c r="AA78" s="2428"/>
      <c r="AB78" s="2429"/>
      <c r="AC78" s="2430"/>
      <c r="AD78" s="2431"/>
      <c r="AE78" s="2432"/>
      <c r="AF78" s="2433"/>
      <c r="AG78" s="2434"/>
      <c r="AH78" s="2435"/>
      <c r="AI78" s="2436"/>
      <c r="AJ78" s="2437"/>
      <c r="AK78" s="2438"/>
      <c r="AL78" s="2439"/>
      <c r="AM78" s="2440"/>
      <c r="AN78" s="2441"/>
      <c r="AO78" s="2442"/>
      <c r="AP78" s="2443"/>
      <c r="AQ78" s="2444"/>
      <c r="AR78" s="2445"/>
      <c r="AS78" s="2446"/>
      <c r="AT78" s="2447"/>
      <c r="AU78" s="2448"/>
      <c r="AV78" s="2449"/>
      <c r="AW78" s="2450"/>
      <c r="AX78" s="2451"/>
      <c r="AY78" s="2452"/>
      <c r="AZ78" s="2453"/>
      <c r="BA78" s="2454"/>
      <c r="BB78" s="2455"/>
      <c r="BC78" s="2456"/>
      <c r="BD78" s="2457"/>
      <c r="BE78" s="2458"/>
      <c r="BF78" s="2459"/>
      <c r="BG78" s="2129"/>
      <c r="BH78" s="2207"/>
      <c r="BI78" s="2207" t="str">
        <f t="shared" si="1"/>
        <v>Добавить наименование признака дифференциации</v>
      </c>
      <c r="BJ78" s="2207"/>
      <c r="BK78" s="2207"/>
      <c r="BL78" s="2054">
        <v>0</v>
      </c>
    </row>
    <row r="79" spans="1:64" s="4474" customFormat="1" ht="23.25" customHeight="1">
      <c r="A79" s="2197"/>
      <c r="B79" s="2197"/>
      <c r="C79" s="2197" t="s">
        <v>307</v>
      </c>
      <c r="D79" s="2197"/>
      <c r="E79" s="5470"/>
      <c r="F79" s="5470"/>
      <c r="G79" s="5469" t="s">
        <v>91</v>
      </c>
      <c r="H79" s="2197"/>
      <c r="I79" s="2197"/>
      <c r="J79" s="2197"/>
      <c r="K79" s="2197"/>
      <c r="L79" s="2198"/>
      <c r="M79" s="2199"/>
      <c r="N79" s="2199"/>
      <c r="O79" s="2199"/>
      <c r="P79" s="2200"/>
      <c r="Q79" s="2201"/>
      <c r="R79" s="2202"/>
      <c r="S79" s="2203" t="str">
        <f>INDEX(PT_DIFFERENTIATION_NUM_CS,MATCH(C79,PT_DIFFERENTIATION_CS_ID,0))</f>
        <v>1.1.4</v>
      </c>
      <c r="T79" s="2204" t="s">
        <v>606</v>
      </c>
      <c r="U79" s="2205"/>
      <c r="V79" s="5463"/>
      <c r="W79" s="5464"/>
      <c r="X79" s="5464"/>
      <c r="Y79" s="5464"/>
      <c r="Z79" s="5464"/>
      <c r="AA79" s="5464"/>
      <c r="AB79" s="5465"/>
      <c r="AC79" s="5463" t="str">
        <f>INDEX(PT_DIFFERENTIATION_CS,MATCH(C79,PT_DIFFERENTIATION_CS_ID,0))</f>
        <v>пгт. Посьет</v>
      </c>
      <c r="AD79" s="5464"/>
      <c r="AE79" s="5464"/>
      <c r="AF79" s="5464"/>
      <c r="AG79" s="5464"/>
      <c r="AH79" s="5464"/>
      <c r="AI79" s="5464"/>
      <c r="AJ79" s="5463"/>
      <c r="AK79" s="5464"/>
      <c r="AL79" s="5464"/>
      <c r="AM79" s="5464"/>
      <c r="AN79" s="5464"/>
      <c r="AO79" s="5464"/>
      <c r="AP79" s="5465"/>
      <c r="AQ79" s="5463"/>
      <c r="AR79" s="5464"/>
      <c r="AS79" s="5464"/>
      <c r="AT79" s="5464"/>
      <c r="AU79" s="5464"/>
      <c r="AV79" s="5464"/>
      <c r="AW79" s="5465"/>
      <c r="AX79" s="5463"/>
      <c r="AY79" s="5464"/>
      <c r="AZ79" s="5464"/>
      <c r="BA79" s="5464"/>
      <c r="BB79" s="5464"/>
      <c r="BC79" s="5464"/>
      <c r="BD79" s="5465"/>
      <c r="BE79" s="5465"/>
      <c r="BF79" s="2206" t="s">
        <v>607</v>
      </c>
      <c r="BG79" s="2129"/>
      <c r="BH79" s="2207"/>
      <c r="BI79" s="2207" t="str">
        <f t="shared" si="1"/>
        <v>Наименование централизованной системы водоотведения</v>
      </c>
      <c r="BJ79" s="2207"/>
      <c r="BK79" s="2207"/>
      <c r="BL79" s="2054">
        <v>0</v>
      </c>
    </row>
    <row r="80" spans="1:64" s="4475" customFormat="1" ht="23.25" customHeight="1">
      <c r="A80" s="2197"/>
      <c r="B80" s="2197"/>
      <c r="C80" s="2197"/>
      <c r="D80" s="2197"/>
      <c r="E80" s="5470"/>
      <c r="F80" s="5470"/>
      <c r="G80" s="5470" t="s">
        <v>90</v>
      </c>
      <c r="H80" s="5470"/>
      <c r="I80" s="5471" t="str">
        <f>S79&amp;".1"</f>
        <v>1.1.4.1</v>
      </c>
      <c r="J80" s="2197"/>
      <c r="K80" s="2197"/>
      <c r="L80" s="2198"/>
      <c r="M80" s="2208"/>
      <c r="N80" s="2208"/>
      <c r="O80" s="2208"/>
      <c r="P80" s="5473">
        <v>1</v>
      </c>
      <c r="Q80" s="2209"/>
      <c r="R80" s="2210"/>
      <c r="S80" s="2203" t="str">
        <f>$I80</f>
        <v>1.1.4.1</v>
      </c>
      <c r="T80" s="2211" t="s">
        <v>573</v>
      </c>
      <c r="U80" s="2205"/>
      <c r="V80" s="5537"/>
      <c r="W80" s="5538"/>
      <c r="X80" s="5538"/>
      <c r="Y80" s="5538"/>
      <c r="Z80" s="5538"/>
      <c r="AA80" s="5538"/>
      <c r="AB80" s="5539"/>
      <c r="AC80" s="5540"/>
      <c r="AD80" s="5541"/>
      <c r="AE80" s="5541"/>
      <c r="AF80" s="5541"/>
      <c r="AG80" s="5541"/>
      <c r="AH80" s="5541"/>
      <c r="AI80" s="5541"/>
      <c r="AJ80" s="5537"/>
      <c r="AK80" s="5538"/>
      <c r="AL80" s="5538"/>
      <c r="AM80" s="5538"/>
      <c r="AN80" s="5538"/>
      <c r="AO80" s="5538"/>
      <c r="AP80" s="5539"/>
      <c r="AQ80" s="5537"/>
      <c r="AR80" s="5538"/>
      <c r="AS80" s="5538"/>
      <c r="AT80" s="5538"/>
      <c r="AU80" s="5538"/>
      <c r="AV80" s="5538"/>
      <c r="AW80" s="5539"/>
      <c r="AX80" s="5537"/>
      <c r="AY80" s="5538"/>
      <c r="AZ80" s="5538"/>
      <c r="BA80" s="5538"/>
      <c r="BB80" s="5538"/>
      <c r="BC80" s="5538"/>
      <c r="BD80" s="5539"/>
      <c r="BE80" s="5542"/>
      <c r="BF80" s="2206" t="s">
        <v>574</v>
      </c>
      <c r="BG80" s="2129"/>
      <c r="BH80" s="2207"/>
      <c r="BI80" s="2207" t="str">
        <f t="shared" si="1"/>
        <v>Наименование признака дифференциации</v>
      </c>
      <c r="BJ80" s="2207"/>
      <c r="BK80" s="2207"/>
      <c r="BL80" s="2054">
        <v>0</v>
      </c>
    </row>
    <row r="81" spans="1:64" s="4476" customFormat="1" ht="23.25" customHeight="1">
      <c r="A81" s="2197"/>
      <c r="B81" s="2197"/>
      <c r="C81" s="2197"/>
      <c r="D81" s="2197"/>
      <c r="E81" s="5470"/>
      <c r="F81" s="5470"/>
      <c r="G81" s="5470" t="s">
        <v>90</v>
      </c>
      <c r="H81" s="5470"/>
      <c r="I81" s="5472"/>
      <c r="J81" s="5471" t="str">
        <f>I80&amp;".1"</f>
        <v>1.1.4.1.1</v>
      </c>
      <c r="K81" s="2197"/>
      <c r="L81" s="2198" t="s">
        <v>499</v>
      </c>
      <c r="M81" s="2208"/>
      <c r="N81" s="2208"/>
      <c r="O81" s="2208"/>
      <c r="P81" s="5473"/>
      <c r="Q81" s="5473">
        <v>1</v>
      </c>
      <c r="R81" s="2212"/>
      <c r="S81" s="2203" t="str">
        <f>$J81</f>
        <v>1.1.4.1.1</v>
      </c>
      <c r="T81" s="2213" t="s">
        <v>500</v>
      </c>
      <c r="U81" s="2205"/>
      <c r="V81" s="5457"/>
      <c r="W81" s="5458"/>
      <c r="X81" s="5458"/>
      <c r="Y81" s="5458"/>
      <c r="Z81" s="5458"/>
      <c r="AA81" s="5458"/>
      <c r="AB81" s="5459"/>
      <c r="AC81" s="5457" t="s">
        <v>611</v>
      </c>
      <c r="AD81" s="5458"/>
      <c r="AE81" s="5458"/>
      <c r="AF81" s="5458"/>
      <c r="AG81" s="5458"/>
      <c r="AH81" s="5458"/>
      <c r="AI81" s="5458"/>
      <c r="AJ81" s="5457"/>
      <c r="AK81" s="5458"/>
      <c r="AL81" s="5458"/>
      <c r="AM81" s="5458"/>
      <c r="AN81" s="5458"/>
      <c r="AO81" s="5458"/>
      <c r="AP81" s="5459"/>
      <c r="AQ81" s="5457"/>
      <c r="AR81" s="5458"/>
      <c r="AS81" s="5458"/>
      <c r="AT81" s="5458"/>
      <c r="AU81" s="5458"/>
      <c r="AV81" s="5458"/>
      <c r="AW81" s="5459"/>
      <c r="AX81" s="5457"/>
      <c r="AY81" s="5458"/>
      <c r="AZ81" s="5458"/>
      <c r="BA81" s="5458"/>
      <c r="BB81" s="5458"/>
      <c r="BC81" s="5458"/>
      <c r="BD81" s="5459"/>
      <c r="BE81" s="5459"/>
      <c r="BF81" s="2214" t="s">
        <v>575</v>
      </c>
      <c r="BG81" s="2129"/>
      <c r="BH81" s="2207"/>
      <c r="BI81" s="2207" t="str">
        <f t="shared" si="1"/>
        <v>Группа потребителей</v>
      </c>
      <c r="BJ81" s="2207"/>
      <c r="BK81" s="2207"/>
      <c r="BL81" s="2054">
        <v>0</v>
      </c>
    </row>
    <row r="82" spans="1:64" s="4477" customFormat="1" ht="23.25" customHeight="1">
      <c r="A82" s="2197"/>
      <c r="B82" s="2197"/>
      <c r="C82" s="2197"/>
      <c r="D82" s="2197"/>
      <c r="E82" s="5470"/>
      <c r="F82" s="5470"/>
      <c r="G82" s="5470" t="s">
        <v>90</v>
      </c>
      <c r="H82" s="5470"/>
      <c r="I82" s="5472"/>
      <c r="J82" s="5472"/>
      <c r="K82" s="5471" t="str">
        <f>J81&amp;".1"</f>
        <v>1.1.4.1.1.1</v>
      </c>
      <c r="L82" s="2198"/>
      <c r="M82" s="2208"/>
      <c r="N82" s="2208"/>
      <c r="O82" s="2208"/>
      <c r="P82" s="5473"/>
      <c r="Q82" s="5473"/>
      <c r="R82" s="2212">
        <v>1</v>
      </c>
      <c r="S82" s="2203" t="str">
        <f>$K82</f>
        <v>1.1.4.1.1.1</v>
      </c>
      <c r="T82" s="2215" t="s">
        <v>569</v>
      </c>
      <c r="U82" s="2205"/>
      <c r="V82" s="2055"/>
      <c r="W82" s="2055"/>
      <c r="X82" s="2056"/>
      <c r="Y82" s="5474"/>
      <c r="Z82" s="5338" t="s">
        <v>66</v>
      </c>
      <c r="AA82" s="5474"/>
      <c r="AB82" s="5338" t="s">
        <v>66</v>
      </c>
      <c r="AC82" s="2055">
        <v>24.2</v>
      </c>
      <c r="AD82" s="2055"/>
      <c r="AE82" s="2056"/>
      <c r="AF82" s="5474">
        <v>45658.612569444442</v>
      </c>
      <c r="AG82" s="5338" t="s">
        <v>66</v>
      </c>
      <c r="AH82" s="5476">
        <v>46022.612685185188</v>
      </c>
      <c r="AI82" s="5338" t="s">
        <v>66</v>
      </c>
      <c r="AJ82" s="2055">
        <v>23.98</v>
      </c>
      <c r="AK82" s="2055"/>
      <c r="AL82" s="2056"/>
      <c r="AM82" s="5474">
        <v>46023.642962962964</v>
      </c>
      <c r="AN82" s="5338" t="s">
        <v>66</v>
      </c>
      <c r="AO82" s="5474">
        <v>46387.643078703702</v>
      </c>
      <c r="AP82" s="5338" t="s">
        <v>66</v>
      </c>
      <c r="AQ82" s="2055">
        <v>24.62</v>
      </c>
      <c r="AR82" s="2055"/>
      <c r="AS82" s="2056"/>
      <c r="AT82" s="5474">
        <v>46388.643182870372</v>
      </c>
      <c r="AU82" s="5338" t="s">
        <v>66</v>
      </c>
      <c r="AV82" s="5474">
        <v>46752.643275462964</v>
      </c>
      <c r="AW82" s="5338" t="s">
        <v>66</v>
      </c>
      <c r="AX82" s="2055">
        <v>25.28</v>
      </c>
      <c r="AY82" s="2055"/>
      <c r="AZ82" s="2056"/>
      <c r="BA82" s="5474">
        <v>46753.643437500003</v>
      </c>
      <c r="BB82" s="5338" t="s">
        <v>66</v>
      </c>
      <c r="BC82" s="5474">
        <v>47118.643553240741</v>
      </c>
      <c r="BD82" s="5338" t="s">
        <v>66</v>
      </c>
      <c r="BE82" s="2216"/>
      <c r="BF82"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82" s="2129" t="e">
        <f ca="1">STRCHECKDATE(V83:BE83)</f>
        <v>#NAME?</v>
      </c>
      <c r="BH82" s="2207"/>
      <c r="BI82" s="2207" t="str">
        <f t="shared" si="1"/>
        <v>без НДС</v>
      </c>
      <c r="BJ82" s="2207"/>
      <c r="BK82" s="2207"/>
      <c r="BL82" s="2054">
        <v>0</v>
      </c>
    </row>
    <row r="83" spans="1:64" s="4478" customFormat="1" ht="14.25" customHeight="1">
      <c r="A83" s="2197"/>
      <c r="B83" s="2197"/>
      <c r="C83" s="2197"/>
      <c r="D83" s="2197"/>
      <c r="E83" s="5470"/>
      <c r="F83" s="5470"/>
      <c r="G83" s="5470" t="s">
        <v>90</v>
      </c>
      <c r="H83" s="5470"/>
      <c r="I83" s="5472"/>
      <c r="J83" s="5472"/>
      <c r="K83" s="5471"/>
      <c r="L83" s="2198"/>
      <c r="M83" s="2208"/>
      <c r="N83" s="2208"/>
      <c r="O83" s="2208"/>
      <c r="P83" s="5473"/>
      <c r="Q83" s="5473"/>
      <c r="R83" s="2212"/>
      <c r="S83" s="2217"/>
      <c r="T83" s="2205"/>
      <c r="U83" s="2205"/>
      <c r="V83" s="2057"/>
      <c r="W83" s="2057"/>
      <c r="X83" s="2058" t="str">
        <f>Y82&amp;"-"&amp;AA82</f>
        <v>-</v>
      </c>
      <c r="Y83" s="5475"/>
      <c r="Z83" s="5338"/>
      <c r="AA83" s="5475"/>
      <c r="AB83" s="5338"/>
      <c r="AC83" s="2057"/>
      <c r="AD83" s="2057"/>
      <c r="AE83" s="2058" t="str">
        <f>AF82&amp;"-"&amp;AH82</f>
        <v>45658,6125694444-46022,6126851852</v>
      </c>
      <c r="AF83" s="5475"/>
      <c r="AG83" s="5338"/>
      <c r="AH83" s="5477"/>
      <c r="AI83" s="5338"/>
      <c r="AJ83" s="2057"/>
      <c r="AK83" s="2057"/>
      <c r="AL83" s="2058" t="str">
        <f>AM82&amp;"-"&amp;AO82</f>
        <v>46023,642962963-46387,6430787037</v>
      </c>
      <c r="AM83" s="5475"/>
      <c r="AN83" s="5338"/>
      <c r="AO83" s="5475"/>
      <c r="AP83" s="5338"/>
      <c r="AQ83" s="2057"/>
      <c r="AR83" s="2057"/>
      <c r="AS83" s="2058" t="str">
        <f>AT82&amp;"-"&amp;AV82</f>
        <v>46388,6431828704-46752,643275463</v>
      </c>
      <c r="AT83" s="5475"/>
      <c r="AU83" s="5338"/>
      <c r="AV83" s="5475"/>
      <c r="AW83" s="5338"/>
      <c r="AX83" s="2057"/>
      <c r="AY83" s="2057"/>
      <c r="AZ83" s="2058" t="str">
        <f>BA82&amp;"-"&amp;BC82</f>
        <v>46753,6434375-47118,6435532407</v>
      </c>
      <c r="BA83" s="5475"/>
      <c r="BB83" s="5338"/>
      <c r="BC83" s="5475"/>
      <c r="BD83" s="5338"/>
      <c r="BE83" s="2218"/>
      <c r="BF83" s="5543"/>
      <c r="BG83" s="2129"/>
      <c r="BH83" s="2207"/>
      <c r="BI83" s="2207" t="str">
        <f t="shared" si="1"/>
        <v/>
      </c>
      <c r="BJ83" s="2207"/>
      <c r="BK83" s="2207"/>
      <c r="BL83" s="2054">
        <v>0</v>
      </c>
    </row>
    <row r="84" spans="1:64" s="4479" customFormat="1" ht="21" customHeight="1">
      <c r="A84" s="2197"/>
      <c r="B84" s="2197"/>
      <c r="C84" s="2197"/>
      <c r="D84" s="2197"/>
      <c r="E84" s="5470"/>
      <c r="F84" s="5470"/>
      <c r="G84" s="5470" t="s">
        <v>90</v>
      </c>
      <c r="H84" s="5470"/>
      <c r="I84" s="5472"/>
      <c r="J84" s="5471"/>
      <c r="K84" s="2197"/>
      <c r="L84" s="2198"/>
      <c r="M84" s="2208"/>
      <c r="N84" s="2208"/>
      <c r="O84" s="2208"/>
      <c r="P84" s="5473"/>
      <c r="Q84" s="5473"/>
      <c r="R84" s="2210"/>
      <c r="S84" s="2460"/>
      <c r="T84" s="2461" t="s">
        <v>576</v>
      </c>
      <c r="U84" s="2462"/>
      <c r="V84" s="2463"/>
      <c r="W84" s="2464"/>
      <c r="X84" s="2465"/>
      <c r="Y84" s="2466"/>
      <c r="Z84" s="2467"/>
      <c r="AA84" s="2468"/>
      <c r="AB84" s="2469"/>
      <c r="AC84" s="2470"/>
      <c r="AD84" s="2471"/>
      <c r="AE84" s="2472"/>
      <c r="AF84" s="2473"/>
      <c r="AG84" s="2474"/>
      <c r="AH84" s="2475"/>
      <c r="AI84" s="2476"/>
      <c r="AJ84" s="2477"/>
      <c r="AK84" s="2478"/>
      <c r="AL84" s="2479"/>
      <c r="AM84" s="2480"/>
      <c r="AN84" s="2481"/>
      <c r="AO84" s="2482"/>
      <c r="AP84" s="2483"/>
      <c r="AQ84" s="2484"/>
      <c r="AR84" s="2485"/>
      <c r="AS84" s="2486"/>
      <c r="AT84" s="2487"/>
      <c r="AU84" s="2488"/>
      <c r="AV84" s="2489"/>
      <c r="AW84" s="2490"/>
      <c r="AX84" s="2491"/>
      <c r="AY84" s="2492"/>
      <c r="AZ84" s="2493"/>
      <c r="BA84" s="2494"/>
      <c r="BB84" s="2495"/>
      <c r="BC84" s="2496"/>
      <c r="BD84" s="2497"/>
      <c r="BE84" s="2498"/>
      <c r="BF84" s="2206" t="s">
        <v>577</v>
      </c>
      <c r="BG84" s="2129"/>
      <c r="BH84" s="2207"/>
      <c r="BI84" s="2207" t="str">
        <f t="shared" si="1"/>
        <v>Добавить значение признака дифференциации</v>
      </c>
      <c r="BJ84" s="2207"/>
      <c r="BK84" s="2207"/>
      <c r="BL84" s="2054">
        <v>0</v>
      </c>
    </row>
    <row r="85" spans="1:64" s="4480" customFormat="1" ht="23.25" customHeight="1">
      <c r="A85" s="4309"/>
      <c r="B85" s="4309"/>
      <c r="C85" s="4309"/>
      <c r="D85" s="4309"/>
      <c r="E85" s="5470"/>
      <c r="F85" s="5470"/>
      <c r="G85" s="5470"/>
      <c r="H85" s="5470"/>
      <c r="I85" s="5472"/>
      <c r="J85" s="5471" t="str">
        <f>I80&amp;".2"</f>
        <v>1.1.4.1.2</v>
      </c>
      <c r="K85" s="4309"/>
      <c r="L85" s="4310" t="s">
        <v>499</v>
      </c>
      <c r="M85" s="4311"/>
      <c r="N85" s="4311"/>
      <c r="O85" s="4311"/>
      <c r="P85" s="5473"/>
      <c r="Q85" s="5553" t="s">
        <v>104</v>
      </c>
      <c r="R85" s="4312"/>
      <c r="S85" s="4313" t="str">
        <f>$J85</f>
        <v>1.1.4.1.2</v>
      </c>
      <c r="T85" s="4314" t="s">
        <v>500</v>
      </c>
      <c r="U85" s="4315"/>
      <c r="V85" s="5457"/>
      <c r="W85" s="5458"/>
      <c r="X85" s="5458"/>
      <c r="Y85" s="5458"/>
      <c r="Z85" s="5458"/>
      <c r="AA85" s="5458"/>
      <c r="AB85" s="5459"/>
      <c r="AC85" s="5457" t="s">
        <v>612</v>
      </c>
      <c r="AD85" s="5458"/>
      <c r="AE85" s="5458"/>
      <c r="AF85" s="5458"/>
      <c r="AG85" s="5458"/>
      <c r="AH85" s="5458"/>
      <c r="AI85" s="5458"/>
      <c r="AJ85" s="5457"/>
      <c r="AK85" s="5458"/>
      <c r="AL85" s="5458"/>
      <c r="AM85" s="5458"/>
      <c r="AN85" s="5458"/>
      <c r="AO85" s="5458"/>
      <c r="AP85" s="5459"/>
      <c r="AQ85" s="5457"/>
      <c r="AR85" s="5458"/>
      <c r="AS85" s="5458"/>
      <c r="AT85" s="5458"/>
      <c r="AU85" s="5458"/>
      <c r="AV85" s="5458"/>
      <c r="AW85" s="5459"/>
      <c r="AX85" s="5457"/>
      <c r="AY85" s="5458"/>
      <c r="AZ85" s="5458"/>
      <c r="BA85" s="5458"/>
      <c r="BB85" s="5458"/>
      <c r="BC85" s="5458"/>
      <c r="BD85" s="5554"/>
      <c r="BE85" s="5459"/>
      <c r="BF85" s="4316" t="s">
        <v>575</v>
      </c>
      <c r="BG85" s="4317"/>
      <c r="BH85" s="4318"/>
      <c r="BI85" s="4318" t="str">
        <f t="shared" si="1"/>
        <v>Группа потребителей</v>
      </c>
      <c r="BJ85" s="4318"/>
      <c r="BK85" s="4318"/>
      <c r="BL85" s="4319">
        <v>0</v>
      </c>
    </row>
    <row r="86" spans="1:64" s="4481" customFormat="1" ht="23.25" customHeight="1">
      <c r="A86" s="4309"/>
      <c r="B86" s="4309"/>
      <c r="C86" s="4309"/>
      <c r="D86" s="4309"/>
      <c r="E86" s="5470"/>
      <c r="F86" s="5470"/>
      <c r="G86" s="5470"/>
      <c r="H86" s="5470"/>
      <c r="I86" s="5472"/>
      <c r="J86" s="5472" t="str">
        <f>I80&amp;".1"</f>
        <v>1.1.4.1.1</v>
      </c>
      <c r="K86" s="5471" t="str">
        <f>J85&amp;".1"</f>
        <v>1.1.4.1.2.1</v>
      </c>
      <c r="L86" s="4310"/>
      <c r="M86" s="4311"/>
      <c r="N86" s="4311"/>
      <c r="O86" s="4311"/>
      <c r="P86" s="5473"/>
      <c r="Q86" s="5473"/>
      <c r="R86" s="4312">
        <v>1</v>
      </c>
      <c r="S86" s="4313" t="str">
        <f>$K86</f>
        <v>1.1.4.1.2.1</v>
      </c>
      <c r="T86" s="4321" t="s">
        <v>568</v>
      </c>
      <c r="U86" s="4315"/>
      <c r="V86" s="4322"/>
      <c r="W86" s="4322"/>
      <c r="X86" s="4323"/>
      <c r="Y86" s="5474"/>
      <c r="Z86" s="5338" t="s">
        <v>66</v>
      </c>
      <c r="AA86" s="5474"/>
      <c r="AB86" s="5338" t="s">
        <v>66</v>
      </c>
      <c r="AC86" s="4322">
        <v>29.04</v>
      </c>
      <c r="AD86" s="4322"/>
      <c r="AE86" s="4323"/>
      <c r="AF86" s="5474">
        <v>45658.637175925927</v>
      </c>
      <c r="AG86" s="5338" t="s">
        <v>66</v>
      </c>
      <c r="AH86" s="5476">
        <v>46022.63722222222</v>
      </c>
      <c r="AI86" s="5338" t="s">
        <v>66</v>
      </c>
      <c r="AJ86" s="4322">
        <v>28.78</v>
      </c>
      <c r="AK86" s="4322"/>
      <c r="AL86" s="4323"/>
      <c r="AM86" s="5474">
        <v>46023.637754629628</v>
      </c>
      <c r="AN86" s="5338" t="s">
        <v>66</v>
      </c>
      <c r="AO86" s="5474">
        <v>46387.63784722222</v>
      </c>
      <c r="AP86" s="5338" t="s">
        <v>66</v>
      </c>
      <c r="AQ86" s="4322">
        <v>29.54</v>
      </c>
      <c r="AR86" s="4322"/>
      <c r="AS86" s="4323"/>
      <c r="AT86" s="5474">
        <v>46388.638321759259</v>
      </c>
      <c r="AU86" s="5338" t="s">
        <v>66</v>
      </c>
      <c r="AV86" s="5474">
        <v>46752.638402777775</v>
      </c>
      <c r="AW86" s="5338" t="s">
        <v>66</v>
      </c>
      <c r="AX86" s="4322">
        <v>30.34</v>
      </c>
      <c r="AY86" s="4322"/>
      <c r="AZ86" s="4323"/>
      <c r="BA86" s="5474">
        <v>46753.638726851852</v>
      </c>
      <c r="BB86" s="5338" t="s">
        <v>66</v>
      </c>
      <c r="BC86" s="5474">
        <v>47118.638807870368</v>
      </c>
      <c r="BD86" s="5555" t="s">
        <v>66</v>
      </c>
      <c r="BE86" s="4324"/>
      <c r="BF8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86" s="4317" t="e">
        <f ca="1">STRCHECKDATE(V87:BE87)</f>
        <v>#NAME?</v>
      </c>
      <c r="BH86" s="4318"/>
      <c r="BI86" s="4318" t="str">
        <f t="shared" si="1"/>
        <v>с НДС</v>
      </c>
      <c r="BJ86" s="4318"/>
      <c r="BK86" s="4318"/>
      <c r="BL86" s="4319">
        <v>0</v>
      </c>
    </row>
    <row r="87" spans="1:64" s="4482" customFormat="1" ht="14.25" customHeight="1">
      <c r="A87" s="4309"/>
      <c r="B87" s="4309"/>
      <c r="C87" s="4309"/>
      <c r="D87" s="4309"/>
      <c r="E87" s="5470"/>
      <c r="F87" s="5470"/>
      <c r="G87" s="5470"/>
      <c r="H87" s="5470"/>
      <c r="I87" s="5472"/>
      <c r="J87" s="5472" t="str">
        <f>I80&amp;".1"</f>
        <v>1.1.4.1.1</v>
      </c>
      <c r="K87" s="5471"/>
      <c r="L87" s="4310"/>
      <c r="M87" s="4311"/>
      <c r="N87" s="4311"/>
      <c r="O87" s="4311"/>
      <c r="P87" s="5473"/>
      <c r="Q87" s="5473"/>
      <c r="R87" s="4312"/>
      <c r="S87" s="4326"/>
      <c r="T87" s="4315"/>
      <c r="U87" s="4315"/>
      <c r="V87" s="4327"/>
      <c r="W87" s="4327"/>
      <c r="X87" s="4328" t="str">
        <f>Y86&amp;"-"&amp;AA86</f>
        <v>-</v>
      </c>
      <c r="Y87" s="5475"/>
      <c r="Z87" s="5338"/>
      <c r="AA87" s="5475"/>
      <c r="AB87" s="5338"/>
      <c r="AC87" s="4327"/>
      <c r="AD87" s="4327"/>
      <c r="AE87" s="4328" t="str">
        <f>AF86&amp;"-"&amp;AH86</f>
        <v>45658,6371759259-46022,6372222222</v>
      </c>
      <c r="AF87" s="5475"/>
      <c r="AG87" s="5338"/>
      <c r="AH87" s="5477"/>
      <c r="AI87" s="5338"/>
      <c r="AJ87" s="4327"/>
      <c r="AK87" s="4327"/>
      <c r="AL87" s="4328" t="str">
        <f>AM86&amp;"-"&amp;AO86</f>
        <v>46023,6377546296-46387,6378472222</v>
      </c>
      <c r="AM87" s="5475"/>
      <c r="AN87" s="5338"/>
      <c r="AO87" s="5475"/>
      <c r="AP87" s="5338"/>
      <c r="AQ87" s="4327"/>
      <c r="AR87" s="4327"/>
      <c r="AS87" s="4328" t="str">
        <f>AT86&amp;"-"&amp;AV86</f>
        <v>46388,6383217593-46752,6384027778</v>
      </c>
      <c r="AT87" s="5475"/>
      <c r="AU87" s="5338"/>
      <c r="AV87" s="5475"/>
      <c r="AW87" s="5338"/>
      <c r="AX87" s="4327"/>
      <c r="AY87" s="4327"/>
      <c r="AZ87" s="4328" t="str">
        <f>BA86&amp;"-"&amp;BC86</f>
        <v>46753,6387268519-47118,6388078704</v>
      </c>
      <c r="BA87" s="5475"/>
      <c r="BB87" s="5338"/>
      <c r="BC87" s="5475"/>
      <c r="BD87" s="5555"/>
      <c r="BE87" s="4329"/>
      <c r="BF87" s="5543"/>
      <c r="BG87" s="4317"/>
      <c r="BH87" s="4318"/>
      <c r="BI87" s="4318" t="str">
        <f t="shared" si="1"/>
        <v/>
      </c>
      <c r="BJ87" s="4318"/>
      <c r="BK87" s="4318"/>
      <c r="BL87" s="4319">
        <v>0</v>
      </c>
    </row>
    <row r="88" spans="1:64" s="4483" customFormat="1" ht="21" customHeight="1">
      <c r="A88" s="4309"/>
      <c r="B88" s="4309"/>
      <c r="C88" s="4309"/>
      <c r="D88" s="4309"/>
      <c r="E88" s="5470"/>
      <c r="F88" s="5470"/>
      <c r="G88" s="5470"/>
      <c r="H88" s="5470"/>
      <c r="I88" s="5472"/>
      <c r="J88" s="5471" t="str">
        <f>I80&amp;".1"</f>
        <v>1.1.4.1.1</v>
      </c>
      <c r="K88" s="4309"/>
      <c r="L88" s="4310"/>
      <c r="M88" s="4311"/>
      <c r="N88" s="4311"/>
      <c r="O88" s="4311"/>
      <c r="P88" s="5473"/>
      <c r="Q88" s="5473"/>
      <c r="R88" s="4331"/>
      <c r="S88" s="4484"/>
      <c r="T88" s="4485" t="s">
        <v>576</v>
      </c>
      <c r="U88" s="4486"/>
      <c r="V88" s="4487"/>
      <c r="W88" s="4488"/>
      <c r="X88" s="4489"/>
      <c r="Y88" s="4490"/>
      <c r="Z88" s="4491"/>
      <c r="AA88" s="4492"/>
      <c r="AB88" s="4493"/>
      <c r="AC88" s="4494"/>
      <c r="AD88" s="4495"/>
      <c r="AE88" s="4496"/>
      <c r="AF88" s="4497"/>
      <c r="AG88" s="4498"/>
      <c r="AH88" s="4499"/>
      <c r="AI88" s="4500"/>
      <c r="AJ88" s="4501"/>
      <c r="AK88" s="4502"/>
      <c r="AL88" s="4503"/>
      <c r="AM88" s="4504"/>
      <c r="AN88" s="4505"/>
      <c r="AO88" s="4506"/>
      <c r="AP88" s="4507"/>
      <c r="AQ88" s="4508"/>
      <c r="AR88" s="4509"/>
      <c r="AS88" s="4510"/>
      <c r="AT88" s="4511"/>
      <c r="AU88" s="4512"/>
      <c r="AV88" s="4513"/>
      <c r="AW88" s="4514"/>
      <c r="AX88" s="4515"/>
      <c r="AY88" s="4516"/>
      <c r="AZ88" s="4517"/>
      <c r="BA88" s="4518"/>
      <c r="BB88" s="4519"/>
      <c r="BC88" s="4520"/>
      <c r="BD88" s="4521"/>
      <c r="BE88" s="4522"/>
      <c r="BF88" s="4371" t="s">
        <v>577</v>
      </c>
      <c r="BG88" s="4317"/>
      <c r="BH88" s="4318"/>
      <c r="BI88" s="4318" t="str">
        <f t="shared" si="1"/>
        <v>Добавить значение признака дифференциации</v>
      </c>
      <c r="BJ88" s="4318"/>
      <c r="BK88" s="4318"/>
      <c r="BL88" s="4319">
        <v>0</v>
      </c>
    </row>
    <row r="89" spans="1:64" s="4523" customFormat="1" ht="21" customHeight="1">
      <c r="A89" s="2197"/>
      <c r="B89" s="2197"/>
      <c r="C89" s="2197"/>
      <c r="D89" s="2197"/>
      <c r="E89" s="5470"/>
      <c r="F89" s="5470"/>
      <c r="G89" s="5470" t="s">
        <v>90</v>
      </c>
      <c r="H89" s="5470"/>
      <c r="I89" s="5471"/>
      <c r="J89" s="2197"/>
      <c r="K89" s="2197"/>
      <c r="L89" s="2198"/>
      <c r="M89" s="2208"/>
      <c r="N89" s="2208"/>
      <c r="O89" s="2208"/>
      <c r="P89" s="5473"/>
      <c r="Q89" s="2209"/>
      <c r="R89" s="2210"/>
      <c r="S89" s="2499"/>
      <c r="T89" s="2500" t="s">
        <v>505</v>
      </c>
      <c r="U89" s="2501"/>
      <c r="V89" s="2502"/>
      <c r="W89" s="2503"/>
      <c r="X89" s="2504"/>
      <c r="Y89" s="2505"/>
      <c r="Z89" s="2506"/>
      <c r="AA89" s="2507"/>
      <c r="AB89" s="2508"/>
      <c r="AC89" s="2509"/>
      <c r="AD89" s="2510"/>
      <c r="AE89" s="2511"/>
      <c r="AF89" s="2512"/>
      <c r="AG89" s="2513"/>
      <c r="AH89" s="2514"/>
      <c r="AI89" s="2515"/>
      <c r="AJ89" s="2516"/>
      <c r="AK89" s="2517"/>
      <c r="AL89" s="2518"/>
      <c r="AM89" s="2519"/>
      <c r="AN89" s="2520"/>
      <c r="AO89" s="2521"/>
      <c r="AP89" s="2522"/>
      <c r="AQ89" s="2523"/>
      <c r="AR89" s="2524"/>
      <c r="AS89" s="2525"/>
      <c r="AT89" s="2526"/>
      <c r="AU89" s="2527"/>
      <c r="AV89" s="2528"/>
      <c r="AW89" s="2529"/>
      <c r="AX89" s="2530"/>
      <c r="AY89" s="2531"/>
      <c r="AZ89" s="2532"/>
      <c r="BA89" s="2533"/>
      <c r="BB89" s="2534"/>
      <c r="BC89" s="2535"/>
      <c r="BD89" s="2536"/>
      <c r="BE89" s="2537"/>
      <c r="BF89" s="2538"/>
      <c r="BG89" s="2129"/>
      <c r="BH89" s="2207"/>
      <c r="BI89" s="2207" t="str">
        <f t="shared" si="1"/>
        <v>Добавить группу потребителей</v>
      </c>
      <c r="BJ89" s="2207"/>
      <c r="BK89" s="2207"/>
      <c r="BL89" s="2054">
        <v>0</v>
      </c>
    </row>
    <row r="90" spans="1:64" s="4524" customFormat="1" ht="21" customHeight="1">
      <c r="A90" s="2197"/>
      <c r="B90" s="2197"/>
      <c r="C90" s="2197"/>
      <c r="D90" s="2197"/>
      <c r="E90" s="5470"/>
      <c r="F90" s="5470"/>
      <c r="G90" s="5470" t="s">
        <v>90</v>
      </c>
      <c r="H90" s="5469"/>
      <c r="I90" s="2197"/>
      <c r="J90" s="2197"/>
      <c r="K90" s="2197"/>
      <c r="L90" s="2198"/>
      <c r="M90" s="2199"/>
      <c r="N90" s="2199"/>
      <c r="O90" s="2123"/>
      <c r="P90" s="2298"/>
      <c r="Q90" s="2299"/>
      <c r="R90" s="2300"/>
      <c r="S90" s="2539"/>
      <c r="T90" s="2540" t="s">
        <v>578</v>
      </c>
      <c r="U90" s="2541"/>
      <c r="V90" s="2542"/>
      <c r="W90" s="2543"/>
      <c r="X90" s="2544"/>
      <c r="Y90" s="2545"/>
      <c r="Z90" s="2546"/>
      <c r="AA90" s="2547"/>
      <c r="AB90" s="2548"/>
      <c r="AC90" s="2549"/>
      <c r="AD90" s="2550"/>
      <c r="AE90" s="2551"/>
      <c r="AF90" s="2552"/>
      <c r="AG90" s="2553"/>
      <c r="AH90" s="2554"/>
      <c r="AI90" s="2555"/>
      <c r="AJ90" s="2556"/>
      <c r="AK90" s="2557"/>
      <c r="AL90" s="2558"/>
      <c r="AM90" s="2559"/>
      <c r="AN90" s="2560"/>
      <c r="AO90" s="2561"/>
      <c r="AP90" s="2562"/>
      <c r="AQ90" s="2563"/>
      <c r="AR90" s="2564"/>
      <c r="AS90" s="2565"/>
      <c r="AT90" s="2566"/>
      <c r="AU90" s="2567"/>
      <c r="AV90" s="2568"/>
      <c r="AW90" s="2569"/>
      <c r="AX90" s="2570"/>
      <c r="AY90" s="2571"/>
      <c r="AZ90" s="2572"/>
      <c r="BA90" s="2573"/>
      <c r="BB90" s="2574"/>
      <c r="BC90" s="2575"/>
      <c r="BD90" s="2576"/>
      <c r="BE90" s="2577"/>
      <c r="BF90" s="2578"/>
      <c r="BG90" s="2129"/>
      <c r="BH90" s="2207"/>
      <c r="BI90" s="2207" t="str">
        <f t="shared" si="1"/>
        <v>Добавить наименование признака дифференциации</v>
      </c>
      <c r="BJ90" s="2207"/>
      <c r="BK90" s="2207"/>
      <c r="BL90" s="2054">
        <v>0</v>
      </c>
    </row>
    <row r="91" spans="1:64" s="4525" customFormat="1" ht="23.25" customHeight="1">
      <c r="A91" s="2197"/>
      <c r="B91" s="2197"/>
      <c r="C91" s="2197" t="s">
        <v>310</v>
      </c>
      <c r="D91" s="2197"/>
      <c r="E91" s="5470"/>
      <c r="F91" s="5470"/>
      <c r="G91" s="5469" t="s">
        <v>116</v>
      </c>
      <c r="H91" s="2197"/>
      <c r="I91" s="2197"/>
      <c r="J91" s="2197"/>
      <c r="K91" s="2197"/>
      <c r="L91" s="2198"/>
      <c r="M91" s="2199"/>
      <c r="N91" s="2199"/>
      <c r="O91" s="2199"/>
      <c r="P91" s="2200"/>
      <c r="Q91" s="2201"/>
      <c r="R91" s="2202"/>
      <c r="S91" s="2203" t="str">
        <f>INDEX(PT_DIFFERENTIATION_NUM_CS,MATCH(C91,PT_DIFFERENTIATION_CS_ID,0))</f>
        <v>1.1.5</v>
      </c>
      <c r="T91" s="2204" t="s">
        <v>606</v>
      </c>
      <c r="U91" s="2205"/>
      <c r="V91" s="5463"/>
      <c r="W91" s="5464"/>
      <c r="X91" s="5464"/>
      <c r="Y91" s="5464"/>
      <c r="Z91" s="5464"/>
      <c r="AA91" s="5464"/>
      <c r="AB91" s="5465"/>
      <c r="AC91" s="5463" t="str">
        <f>INDEX(PT_DIFFERENTIATION_CS,MATCH(C91,PT_DIFFERENTIATION_CS_ID,0))</f>
        <v>пгт. Приморский</v>
      </c>
      <c r="AD91" s="5464"/>
      <c r="AE91" s="5464"/>
      <c r="AF91" s="5464"/>
      <c r="AG91" s="5464"/>
      <c r="AH91" s="5464"/>
      <c r="AI91" s="5464"/>
      <c r="AJ91" s="5463"/>
      <c r="AK91" s="5464"/>
      <c r="AL91" s="5464"/>
      <c r="AM91" s="5464"/>
      <c r="AN91" s="5464"/>
      <c r="AO91" s="5464"/>
      <c r="AP91" s="5465"/>
      <c r="AQ91" s="5463"/>
      <c r="AR91" s="5464"/>
      <c r="AS91" s="5464"/>
      <c r="AT91" s="5464"/>
      <c r="AU91" s="5464"/>
      <c r="AV91" s="5464"/>
      <c r="AW91" s="5465"/>
      <c r="AX91" s="5463"/>
      <c r="AY91" s="5464"/>
      <c r="AZ91" s="5464"/>
      <c r="BA91" s="5464"/>
      <c r="BB91" s="5464"/>
      <c r="BC91" s="5464"/>
      <c r="BD91" s="5465"/>
      <c r="BE91" s="5465"/>
      <c r="BF91" s="2206" t="s">
        <v>607</v>
      </c>
      <c r="BG91" s="2129"/>
      <c r="BH91" s="2207"/>
      <c r="BI91" s="2207" t="str">
        <f t="shared" si="1"/>
        <v>Наименование централизованной системы водоотведения</v>
      </c>
      <c r="BJ91" s="2207"/>
      <c r="BK91" s="2207"/>
      <c r="BL91" s="2054">
        <v>0</v>
      </c>
    </row>
    <row r="92" spans="1:64" s="4526" customFormat="1" ht="23.25" customHeight="1">
      <c r="A92" s="2197"/>
      <c r="B92" s="2197"/>
      <c r="C92" s="2197"/>
      <c r="D92" s="2197"/>
      <c r="E92" s="5470"/>
      <c r="F92" s="5470"/>
      <c r="G92" s="5470" t="s">
        <v>91</v>
      </c>
      <c r="H92" s="5470"/>
      <c r="I92" s="5471" t="str">
        <f>S91&amp;".1"</f>
        <v>1.1.5.1</v>
      </c>
      <c r="J92" s="2197"/>
      <c r="K92" s="2197"/>
      <c r="L92" s="2198"/>
      <c r="M92" s="2208"/>
      <c r="N92" s="2208"/>
      <c r="O92" s="2208"/>
      <c r="P92" s="5473">
        <v>1</v>
      </c>
      <c r="Q92" s="2209"/>
      <c r="R92" s="2210"/>
      <c r="S92" s="2203" t="str">
        <f>$I92</f>
        <v>1.1.5.1</v>
      </c>
      <c r="T92" s="2211" t="s">
        <v>573</v>
      </c>
      <c r="U92" s="2205"/>
      <c r="V92" s="5537"/>
      <c r="W92" s="5538"/>
      <c r="X92" s="5538"/>
      <c r="Y92" s="5538"/>
      <c r="Z92" s="5538"/>
      <c r="AA92" s="5538"/>
      <c r="AB92" s="5539"/>
      <c r="AC92" s="5540"/>
      <c r="AD92" s="5541"/>
      <c r="AE92" s="5541"/>
      <c r="AF92" s="5541"/>
      <c r="AG92" s="5541"/>
      <c r="AH92" s="5541"/>
      <c r="AI92" s="5541"/>
      <c r="AJ92" s="5537"/>
      <c r="AK92" s="5538"/>
      <c r="AL92" s="5538"/>
      <c r="AM92" s="5538"/>
      <c r="AN92" s="5538"/>
      <c r="AO92" s="5538"/>
      <c r="AP92" s="5539"/>
      <c r="AQ92" s="5537"/>
      <c r="AR92" s="5538"/>
      <c r="AS92" s="5538"/>
      <c r="AT92" s="5538"/>
      <c r="AU92" s="5538"/>
      <c r="AV92" s="5538"/>
      <c r="AW92" s="5539"/>
      <c r="AX92" s="5537"/>
      <c r="AY92" s="5538"/>
      <c r="AZ92" s="5538"/>
      <c r="BA92" s="5538"/>
      <c r="BB92" s="5538"/>
      <c r="BC92" s="5538"/>
      <c r="BD92" s="5539"/>
      <c r="BE92" s="5542"/>
      <c r="BF92" s="2206" t="s">
        <v>574</v>
      </c>
      <c r="BG92" s="2129"/>
      <c r="BH92" s="2207"/>
      <c r="BI92" s="2207" t="str">
        <f t="shared" si="1"/>
        <v>Наименование признака дифференциации</v>
      </c>
      <c r="BJ92" s="2207"/>
      <c r="BK92" s="2207"/>
      <c r="BL92" s="2054">
        <v>0</v>
      </c>
    </row>
    <row r="93" spans="1:64" s="4527" customFormat="1" ht="23.25" customHeight="1">
      <c r="A93" s="2197"/>
      <c r="B93" s="2197"/>
      <c r="C93" s="2197"/>
      <c r="D93" s="2197"/>
      <c r="E93" s="5470"/>
      <c r="F93" s="5470"/>
      <c r="G93" s="5470" t="s">
        <v>91</v>
      </c>
      <c r="H93" s="5470"/>
      <c r="I93" s="5472"/>
      <c r="J93" s="5471" t="str">
        <f>I92&amp;".1"</f>
        <v>1.1.5.1.1</v>
      </c>
      <c r="K93" s="2197"/>
      <c r="L93" s="2198" t="s">
        <v>499</v>
      </c>
      <c r="M93" s="2208"/>
      <c r="N93" s="2208"/>
      <c r="O93" s="2208"/>
      <c r="P93" s="5473"/>
      <c r="Q93" s="5473">
        <v>1</v>
      </c>
      <c r="R93" s="2212"/>
      <c r="S93" s="2203" t="str">
        <f>$J93</f>
        <v>1.1.5.1.1</v>
      </c>
      <c r="T93" s="2213" t="s">
        <v>500</v>
      </c>
      <c r="U93" s="2205"/>
      <c r="V93" s="5457"/>
      <c r="W93" s="5458"/>
      <c r="X93" s="5458"/>
      <c r="Y93" s="5458"/>
      <c r="Z93" s="5458"/>
      <c r="AA93" s="5458"/>
      <c r="AB93" s="5459"/>
      <c r="AC93" s="5457" t="s">
        <v>611</v>
      </c>
      <c r="AD93" s="5458"/>
      <c r="AE93" s="5458"/>
      <c r="AF93" s="5458"/>
      <c r="AG93" s="5458"/>
      <c r="AH93" s="5458"/>
      <c r="AI93" s="5458"/>
      <c r="AJ93" s="5457"/>
      <c r="AK93" s="5458"/>
      <c r="AL93" s="5458"/>
      <c r="AM93" s="5458"/>
      <c r="AN93" s="5458"/>
      <c r="AO93" s="5458"/>
      <c r="AP93" s="5459"/>
      <c r="AQ93" s="5457"/>
      <c r="AR93" s="5458"/>
      <c r="AS93" s="5458"/>
      <c r="AT93" s="5458"/>
      <c r="AU93" s="5458"/>
      <c r="AV93" s="5458"/>
      <c r="AW93" s="5459"/>
      <c r="AX93" s="5457"/>
      <c r="AY93" s="5458"/>
      <c r="AZ93" s="5458"/>
      <c r="BA93" s="5458"/>
      <c r="BB93" s="5458"/>
      <c r="BC93" s="5458"/>
      <c r="BD93" s="5459"/>
      <c r="BE93" s="5459"/>
      <c r="BF93" s="2214" t="s">
        <v>575</v>
      </c>
      <c r="BG93" s="2129"/>
      <c r="BH93" s="2207"/>
      <c r="BI93" s="2207" t="str">
        <f t="shared" si="1"/>
        <v>Группа потребителей</v>
      </c>
      <c r="BJ93" s="2207"/>
      <c r="BK93" s="2207"/>
      <c r="BL93" s="2054">
        <v>0</v>
      </c>
    </row>
    <row r="94" spans="1:64" s="4528" customFormat="1" ht="23.25" customHeight="1">
      <c r="A94" s="2197"/>
      <c r="B94" s="2197"/>
      <c r="C94" s="2197"/>
      <c r="D94" s="2197"/>
      <c r="E94" s="5470"/>
      <c r="F94" s="5470"/>
      <c r="G94" s="5470" t="s">
        <v>91</v>
      </c>
      <c r="H94" s="5470"/>
      <c r="I94" s="5472"/>
      <c r="J94" s="5472"/>
      <c r="K94" s="5471" t="str">
        <f>J93&amp;".1"</f>
        <v>1.1.5.1.1.1</v>
      </c>
      <c r="L94" s="2198"/>
      <c r="M94" s="2208"/>
      <c r="N94" s="2208"/>
      <c r="O94" s="2208"/>
      <c r="P94" s="5473"/>
      <c r="Q94" s="5473"/>
      <c r="R94" s="2212">
        <v>1</v>
      </c>
      <c r="S94" s="2203" t="str">
        <f>$K94</f>
        <v>1.1.5.1.1.1</v>
      </c>
      <c r="T94" s="2215" t="s">
        <v>569</v>
      </c>
      <c r="U94" s="2205"/>
      <c r="V94" s="2055"/>
      <c r="W94" s="2055"/>
      <c r="X94" s="2056"/>
      <c r="Y94" s="5474"/>
      <c r="Z94" s="5338" t="s">
        <v>66</v>
      </c>
      <c r="AA94" s="5474"/>
      <c r="AB94" s="5338" t="s">
        <v>66</v>
      </c>
      <c r="AC94" s="2055">
        <v>26.72</v>
      </c>
      <c r="AD94" s="2055"/>
      <c r="AE94" s="2056"/>
      <c r="AF94" s="5474">
        <v>45658.612824074073</v>
      </c>
      <c r="AG94" s="5338" t="s">
        <v>66</v>
      </c>
      <c r="AH94" s="5476">
        <v>46022.612928240742</v>
      </c>
      <c r="AI94" s="5338" t="s">
        <v>66</v>
      </c>
      <c r="AJ94" s="2055">
        <v>26.43</v>
      </c>
      <c r="AK94" s="2055"/>
      <c r="AL94" s="2056"/>
      <c r="AM94" s="5474">
        <v>46023.642766203702</v>
      </c>
      <c r="AN94" s="5338" t="s">
        <v>66</v>
      </c>
      <c r="AO94" s="5474">
        <v>46387.642627314817</v>
      </c>
      <c r="AP94" s="5338" t="s">
        <v>66</v>
      </c>
      <c r="AQ94" s="2055">
        <v>27.21</v>
      </c>
      <c r="AR94" s="2055"/>
      <c r="AS94" s="2056"/>
      <c r="AT94" s="5474">
        <v>46388.642511574071</v>
      </c>
      <c r="AU94" s="5338" t="s">
        <v>66</v>
      </c>
      <c r="AV94" s="5474">
        <v>46752.64230324074</v>
      </c>
      <c r="AW94" s="5338" t="s">
        <v>66</v>
      </c>
      <c r="AX94" s="2055">
        <v>28.01</v>
      </c>
      <c r="AY94" s="2055"/>
      <c r="AZ94" s="2056"/>
      <c r="BA94" s="5474">
        <v>46753.642002314817</v>
      </c>
      <c r="BB94" s="5338" t="s">
        <v>66</v>
      </c>
      <c r="BC94" s="5474">
        <v>47118.641898148147</v>
      </c>
      <c r="BD94" s="5338" t="s">
        <v>66</v>
      </c>
      <c r="BE94" s="2216"/>
      <c r="BF94"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94" s="2129" t="e">
        <f ca="1">STRCHECKDATE(V95:BE95)</f>
        <v>#NAME?</v>
      </c>
      <c r="BH94" s="2207"/>
      <c r="BI94" s="2207" t="str">
        <f t="shared" si="1"/>
        <v>без НДС</v>
      </c>
      <c r="BJ94" s="2207"/>
      <c r="BK94" s="2207"/>
      <c r="BL94" s="2054">
        <v>0</v>
      </c>
    </row>
    <row r="95" spans="1:64" s="4529" customFormat="1" ht="14.25" customHeight="1">
      <c r="A95" s="2197"/>
      <c r="B95" s="2197"/>
      <c r="C95" s="2197"/>
      <c r="D95" s="2197"/>
      <c r="E95" s="5470"/>
      <c r="F95" s="5470"/>
      <c r="G95" s="5470" t="s">
        <v>91</v>
      </c>
      <c r="H95" s="5470"/>
      <c r="I95" s="5472"/>
      <c r="J95" s="5472"/>
      <c r="K95" s="5471"/>
      <c r="L95" s="2198"/>
      <c r="M95" s="2208"/>
      <c r="N95" s="2208"/>
      <c r="O95" s="2208"/>
      <c r="P95" s="5473"/>
      <c r="Q95" s="5473"/>
      <c r="R95" s="2212"/>
      <c r="S95" s="2217"/>
      <c r="T95" s="2205"/>
      <c r="U95" s="2205"/>
      <c r="V95" s="2057"/>
      <c r="W95" s="2057"/>
      <c r="X95" s="2058" t="str">
        <f>Y94&amp;"-"&amp;AA94</f>
        <v>-</v>
      </c>
      <c r="Y95" s="5475"/>
      <c r="Z95" s="5338"/>
      <c r="AA95" s="5475"/>
      <c r="AB95" s="5338"/>
      <c r="AC95" s="2057"/>
      <c r="AD95" s="2057"/>
      <c r="AE95" s="2058" t="str">
        <f>AF94&amp;"-"&amp;AH94</f>
        <v>45658,6128240741-46022,6129282407</v>
      </c>
      <c r="AF95" s="5475"/>
      <c r="AG95" s="5338"/>
      <c r="AH95" s="5477"/>
      <c r="AI95" s="5338"/>
      <c r="AJ95" s="2057"/>
      <c r="AK95" s="2057"/>
      <c r="AL95" s="2058" t="str">
        <f>AM94&amp;"-"&amp;AO94</f>
        <v>46023,6427662037-46387,6426273148</v>
      </c>
      <c r="AM95" s="5475"/>
      <c r="AN95" s="5338"/>
      <c r="AO95" s="5475"/>
      <c r="AP95" s="5338"/>
      <c r="AQ95" s="2057"/>
      <c r="AR95" s="2057"/>
      <c r="AS95" s="2058" t="str">
        <f>AT94&amp;"-"&amp;AV94</f>
        <v>46388,6425115741-46752,6423032407</v>
      </c>
      <c r="AT95" s="5475"/>
      <c r="AU95" s="5338"/>
      <c r="AV95" s="5475"/>
      <c r="AW95" s="5338"/>
      <c r="AX95" s="2057"/>
      <c r="AY95" s="2057"/>
      <c r="AZ95" s="2058" t="str">
        <f>BA94&amp;"-"&amp;BC94</f>
        <v>46753,6420023148-47118,6418981481</v>
      </c>
      <c r="BA95" s="5475"/>
      <c r="BB95" s="5338"/>
      <c r="BC95" s="5475"/>
      <c r="BD95" s="5338"/>
      <c r="BE95" s="2218"/>
      <c r="BF95" s="5543"/>
      <c r="BG95" s="2129"/>
      <c r="BH95" s="2207"/>
      <c r="BI95" s="2207" t="str">
        <f t="shared" si="1"/>
        <v/>
      </c>
      <c r="BJ95" s="2207"/>
      <c r="BK95" s="2207"/>
      <c r="BL95" s="2054">
        <v>0</v>
      </c>
    </row>
    <row r="96" spans="1:64" s="4530" customFormat="1" ht="21" customHeight="1">
      <c r="A96" s="2197"/>
      <c r="B96" s="2197"/>
      <c r="C96" s="2197"/>
      <c r="D96" s="2197"/>
      <c r="E96" s="5470"/>
      <c r="F96" s="5470"/>
      <c r="G96" s="5470" t="s">
        <v>91</v>
      </c>
      <c r="H96" s="5470"/>
      <c r="I96" s="5472"/>
      <c r="J96" s="5471"/>
      <c r="K96" s="2197"/>
      <c r="L96" s="2198"/>
      <c r="M96" s="2208"/>
      <c r="N96" s="2208"/>
      <c r="O96" s="2208"/>
      <c r="P96" s="5473"/>
      <c r="Q96" s="5473"/>
      <c r="R96" s="2210"/>
      <c r="S96" s="2579"/>
      <c r="T96" s="2580" t="s">
        <v>576</v>
      </c>
      <c r="U96" s="2581"/>
      <c r="V96" s="2582"/>
      <c r="W96" s="2583"/>
      <c r="X96" s="2584"/>
      <c r="Y96" s="2585"/>
      <c r="Z96" s="2586"/>
      <c r="AA96" s="2587"/>
      <c r="AB96" s="2588"/>
      <c r="AC96" s="2589"/>
      <c r="AD96" s="2590"/>
      <c r="AE96" s="2591"/>
      <c r="AF96" s="2592"/>
      <c r="AG96" s="2593"/>
      <c r="AH96" s="2594"/>
      <c r="AI96" s="2595"/>
      <c r="AJ96" s="2596"/>
      <c r="AK96" s="2597"/>
      <c r="AL96" s="2598"/>
      <c r="AM96" s="2599"/>
      <c r="AN96" s="2600"/>
      <c r="AO96" s="2601"/>
      <c r="AP96" s="2602"/>
      <c r="AQ96" s="2603"/>
      <c r="AR96" s="2604"/>
      <c r="AS96" s="2605"/>
      <c r="AT96" s="2606"/>
      <c r="AU96" s="2607"/>
      <c r="AV96" s="2608"/>
      <c r="AW96" s="2609"/>
      <c r="AX96" s="2610"/>
      <c r="AY96" s="2611"/>
      <c r="AZ96" s="2612"/>
      <c r="BA96" s="2613"/>
      <c r="BB96" s="2614"/>
      <c r="BC96" s="2615"/>
      <c r="BD96" s="2616"/>
      <c r="BE96" s="2617"/>
      <c r="BF96" s="2206" t="s">
        <v>577</v>
      </c>
      <c r="BG96" s="2129"/>
      <c r="BH96" s="2207"/>
      <c r="BI96" s="2207" t="str">
        <f t="shared" si="1"/>
        <v>Добавить значение признака дифференциации</v>
      </c>
      <c r="BJ96" s="2207"/>
      <c r="BK96" s="2207"/>
      <c r="BL96" s="2054">
        <v>0</v>
      </c>
    </row>
    <row r="97" spans="1:64" s="4531" customFormat="1" ht="23.25" customHeight="1">
      <c r="A97" s="4309"/>
      <c r="B97" s="4309"/>
      <c r="C97" s="4309"/>
      <c r="D97" s="4309"/>
      <c r="E97" s="5470"/>
      <c r="F97" s="5470"/>
      <c r="G97" s="5470"/>
      <c r="H97" s="5470"/>
      <c r="I97" s="5472"/>
      <c r="J97" s="5471" t="str">
        <f>I92&amp;".2"</f>
        <v>1.1.5.1.2</v>
      </c>
      <c r="K97" s="4309"/>
      <c r="L97" s="4310" t="s">
        <v>499</v>
      </c>
      <c r="M97" s="4311"/>
      <c r="N97" s="4311"/>
      <c r="O97" s="4311"/>
      <c r="P97" s="5473"/>
      <c r="Q97" s="5553" t="s">
        <v>104</v>
      </c>
      <c r="R97" s="4312"/>
      <c r="S97" s="4313" t="str">
        <f>$J97</f>
        <v>1.1.5.1.2</v>
      </c>
      <c r="T97" s="4314" t="s">
        <v>500</v>
      </c>
      <c r="U97" s="4315"/>
      <c r="V97" s="5457"/>
      <c r="W97" s="5458"/>
      <c r="X97" s="5458"/>
      <c r="Y97" s="5458"/>
      <c r="Z97" s="5458"/>
      <c r="AA97" s="5458"/>
      <c r="AB97" s="5459"/>
      <c r="AC97" s="5457" t="s">
        <v>612</v>
      </c>
      <c r="AD97" s="5458"/>
      <c r="AE97" s="5458"/>
      <c r="AF97" s="5458"/>
      <c r="AG97" s="5458"/>
      <c r="AH97" s="5458"/>
      <c r="AI97" s="5458"/>
      <c r="AJ97" s="5457"/>
      <c r="AK97" s="5458"/>
      <c r="AL97" s="5458"/>
      <c r="AM97" s="5458"/>
      <c r="AN97" s="5458"/>
      <c r="AO97" s="5458"/>
      <c r="AP97" s="5459"/>
      <c r="AQ97" s="5457"/>
      <c r="AR97" s="5458"/>
      <c r="AS97" s="5458"/>
      <c r="AT97" s="5458"/>
      <c r="AU97" s="5458"/>
      <c r="AV97" s="5458"/>
      <c r="AW97" s="5459"/>
      <c r="AX97" s="5457"/>
      <c r="AY97" s="5458"/>
      <c r="AZ97" s="5458"/>
      <c r="BA97" s="5458"/>
      <c r="BB97" s="5458"/>
      <c r="BC97" s="5458"/>
      <c r="BD97" s="5554"/>
      <c r="BE97" s="5459"/>
      <c r="BF97" s="4316" t="s">
        <v>575</v>
      </c>
      <c r="BG97" s="4317"/>
      <c r="BH97" s="4318"/>
      <c r="BI97" s="4318" t="str">
        <f t="shared" si="1"/>
        <v>Группа потребителей</v>
      </c>
      <c r="BJ97" s="4318"/>
      <c r="BK97" s="4318"/>
      <c r="BL97" s="4319">
        <v>0</v>
      </c>
    </row>
    <row r="98" spans="1:64" s="4532" customFormat="1" ht="23.25" customHeight="1">
      <c r="A98" s="4309"/>
      <c r="B98" s="4309"/>
      <c r="C98" s="4309"/>
      <c r="D98" s="4309"/>
      <c r="E98" s="5470"/>
      <c r="F98" s="5470"/>
      <c r="G98" s="5470"/>
      <c r="H98" s="5470"/>
      <c r="I98" s="5472"/>
      <c r="J98" s="5472" t="str">
        <f>I92&amp;".1"</f>
        <v>1.1.5.1.1</v>
      </c>
      <c r="K98" s="5471" t="str">
        <f>J97&amp;".1"</f>
        <v>1.1.5.1.2.1</v>
      </c>
      <c r="L98" s="4310"/>
      <c r="M98" s="4311"/>
      <c r="N98" s="4311"/>
      <c r="O98" s="4311"/>
      <c r="P98" s="5473"/>
      <c r="Q98" s="5473"/>
      <c r="R98" s="4312">
        <v>1</v>
      </c>
      <c r="S98" s="4313" t="str">
        <f>$K98</f>
        <v>1.1.5.1.2.1</v>
      </c>
      <c r="T98" s="4321" t="s">
        <v>568</v>
      </c>
      <c r="U98" s="4315"/>
      <c r="V98" s="4322"/>
      <c r="W98" s="4322"/>
      <c r="X98" s="4323"/>
      <c r="Y98" s="5474"/>
      <c r="Z98" s="5338" t="s">
        <v>66</v>
      </c>
      <c r="AA98" s="5474"/>
      <c r="AB98" s="5338" t="s">
        <v>66</v>
      </c>
      <c r="AC98" s="4322">
        <v>32.06</v>
      </c>
      <c r="AD98" s="4322"/>
      <c r="AE98" s="4323"/>
      <c r="AF98" s="5474">
        <v>45658.639525462961</v>
      </c>
      <c r="AG98" s="5338" t="s">
        <v>66</v>
      </c>
      <c r="AH98" s="5476">
        <v>46022.63957175926</v>
      </c>
      <c r="AI98" s="5338" t="s">
        <v>66</v>
      </c>
      <c r="AJ98" s="4322">
        <v>31.72</v>
      </c>
      <c r="AK98" s="4322"/>
      <c r="AL98" s="4323"/>
      <c r="AM98" s="5474">
        <v>46023.63994212963</v>
      </c>
      <c r="AN98" s="5338" t="s">
        <v>66</v>
      </c>
      <c r="AO98" s="5474">
        <v>46387.640057870369</v>
      </c>
      <c r="AP98" s="5338" t="s">
        <v>66</v>
      </c>
      <c r="AQ98" s="4322">
        <v>32.65</v>
      </c>
      <c r="AR98" s="4322"/>
      <c r="AS98" s="4323"/>
      <c r="AT98" s="5474">
        <v>46388.640659722223</v>
      </c>
      <c r="AU98" s="5338" t="s">
        <v>66</v>
      </c>
      <c r="AV98" s="5474">
        <v>46752.640833333331</v>
      </c>
      <c r="AW98" s="5338" t="s">
        <v>66</v>
      </c>
      <c r="AX98" s="4322">
        <v>33.61</v>
      </c>
      <c r="AY98" s="4322"/>
      <c r="AZ98" s="4323"/>
      <c r="BA98" s="5474">
        <v>46753.640972222223</v>
      </c>
      <c r="BB98" s="5338" t="s">
        <v>66</v>
      </c>
      <c r="BC98" s="5474">
        <v>47118.641053240739</v>
      </c>
      <c r="BD98" s="5555" t="s">
        <v>66</v>
      </c>
      <c r="BE98" s="4324"/>
      <c r="BF98"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98" s="4317" t="e">
        <f ca="1">STRCHECKDATE(V99:BE99)</f>
        <v>#NAME?</v>
      </c>
      <c r="BH98" s="4318"/>
      <c r="BI98" s="4318" t="str">
        <f t="shared" si="1"/>
        <v>с НДС</v>
      </c>
      <c r="BJ98" s="4318"/>
      <c r="BK98" s="4318"/>
      <c r="BL98" s="4319">
        <v>0</v>
      </c>
    </row>
    <row r="99" spans="1:64" s="4533" customFormat="1" ht="14.25" customHeight="1">
      <c r="A99" s="4309"/>
      <c r="B99" s="4309"/>
      <c r="C99" s="4309"/>
      <c r="D99" s="4309"/>
      <c r="E99" s="5470"/>
      <c r="F99" s="5470"/>
      <c r="G99" s="5470"/>
      <c r="H99" s="5470"/>
      <c r="I99" s="5472"/>
      <c r="J99" s="5472" t="str">
        <f>I92&amp;".1"</f>
        <v>1.1.5.1.1</v>
      </c>
      <c r="K99" s="5471"/>
      <c r="L99" s="4310"/>
      <c r="M99" s="4311"/>
      <c r="N99" s="4311"/>
      <c r="O99" s="4311"/>
      <c r="P99" s="5473"/>
      <c r="Q99" s="5473"/>
      <c r="R99" s="4312"/>
      <c r="S99" s="4326"/>
      <c r="T99" s="4315"/>
      <c r="U99" s="4315"/>
      <c r="V99" s="4327"/>
      <c r="W99" s="4327"/>
      <c r="X99" s="4328" t="str">
        <f>Y98&amp;"-"&amp;AA98</f>
        <v>-</v>
      </c>
      <c r="Y99" s="5475"/>
      <c r="Z99" s="5338"/>
      <c r="AA99" s="5475"/>
      <c r="AB99" s="5338"/>
      <c r="AC99" s="4327"/>
      <c r="AD99" s="4327"/>
      <c r="AE99" s="4328" t="str">
        <f>AF98&amp;"-"&amp;AH98</f>
        <v>45658,639525463-46022,6395717593</v>
      </c>
      <c r="AF99" s="5475"/>
      <c r="AG99" s="5338"/>
      <c r="AH99" s="5477"/>
      <c r="AI99" s="5338"/>
      <c r="AJ99" s="4327"/>
      <c r="AK99" s="4327"/>
      <c r="AL99" s="4328" t="str">
        <f>AM98&amp;"-"&amp;AO98</f>
        <v>46023,6399421296-46387,6400578704</v>
      </c>
      <c r="AM99" s="5475"/>
      <c r="AN99" s="5338"/>
      <c r="AO99" s="5475"/>
      <c r="AP99" s="5338"/>
      <c r="AQ99" s="4327"/>
      <c r="AR99" s="4327"/>
      <c r="AS99" s="4328" t="str">
        <f>AT98&amp;"-"&amp;AV98</f>
        <v>46388,6406597222-46752,6408333333</v>
      </c>
      <c r="AT99" s="5475"/>
      <c r="AU99" s="5338"/>
      <c r="AV99" s="5475"/>
      <c r="AW99" s="5338"/>
      <c r="AX99" s="4327"/>
      <c r="AY99" s="4327"/>
      <c r="AZ99" s="4328" t="str">
        <f>BA98&amp;"-"&amp;BC98</f>
        <v>46753,6409722222-47118,6410532407</v>
      </c>
      <c r="BA99" s="5475"/>
      <c r="BB99" s="5338"/>
      <c r="BC99" s="5475"/>
      <c r="BD99" s="5555"/>
      <c r="BE99" s="4329"/>
      <c r="BF99" s="5543"/>
      <c r="BG99" s="4317"/>
      <c r="BH99" s="4318"/>
      <c r="BI99" s="4318" t="str">
        <f t="shared" si="1"/>
        <v/>
      </c>
      <c r="BJ99" s="4318"/>
      <c r="BK99" s="4318"/>
      <c r="BL99" s="4319">
        <v>0</v>
      </c>
    </row>
    <row r="100" spans="1:64" s="4534" customFormat="1" ht="21" customHeight="1">
      <c r="A100" s="4309"/>
      <c r="B100" s="4309"/>
      <c r="C100" s="4309"/>
      <c r="D100" s="4309"/>
      <c r="E100" s="5470"/>
      <c r="F100" s="5470"/>
      <c r="G100" s="5470"/>
      <c r="H100" s="5470"/>
      <c r="I100" s="5472"/>
      <c r="J100" s="5471" t="str">
        <f>I92&amp;".1"</f>
        <v>1.1.5.1.1</v>
      </c>
      <c r="K100" s="4309"/>
      <c r="L100" s="4310"/>
      <c r="M100" s="4311"/>
      <c r="N100" s="4311"/>
      <c r="O100" s="4311"/>
      <c r="P100" s="5473"/>
      <c r="Q100" s="5473"/>
      <c r="R100" s="4331"/>
      <c r="S100" s="4535"/>
      <c r="T100" s="4536" t="s">
        <v>576</v>
      </c>
      <c r="U100" s="4537"/>
      <c r="V100" s="4538"/>
      <c r="W100" s="4539"/>
      <c r="X100" s="4540"/>
      <c r="Y100" s="4541"/>
      <c r="Z100" s="4542"/>
      <c r="AA100" s="4543"/>
      <c r="AB100" s="4544"/>
      <c r="AC100" s="4545"/>
      <c r="AD100" s="4546"/>
      <c r="AE100" s="4547"/>
      <c r="AF100" s="4548"/>
      <c r="AG100" s="4549"/>
      <c r="AH100" s="4550"/>
      <c r="AI100" s="4551"/>
      <c r="AJ100" s="4552"/>
      <c r="AK100" s="4553"/>
      <c r="AL100" s="4554"/>
      <c r="AM100" s="4555"/>
      <c r="AN100" s="4556"/>
      <c r="AO100" s="4557"/>
      <c r="AP100" s="4558"/>
      <c r="AQ100" s="4559"/>
      <c r="AR100" s="4560"/>
      <c r="AS100" s="4561"/>
      <c r="AT100" s="4562"/>
      <c r="AU100" s="4563"/>
      <c r="AV100" s="4564"/>
      <c r="AW100" s="4565"/>
      <c r="AX100" s="4566"/>
      <c r="AY100" s="4567"/>
      <c r="AZ100" s="4568"/>
      <c r="BA100" s="4569"/>
      <c r="BB100" s="4570"/>
      <c r="BC100" s="4571"/>
      <c r="BD100" s="4572"/>
      <c r="BE100" s="4573"/>
      <c r="BF100" s="4371" t="s">
        <v>577</v>
      </c>
      <c r="BG100" s="4317"/>
      <c r="BH100" s="4318"/>
      <c r="BI100" s="4318" t="str">
        <f t="shared" si="1"/>
        <v>Добавить значение признака дифференциации</v>
      </c>
      <c r="BJ100" s="4318"/>
      <c r="BK100" s="4318"/>
      <c r="BL100" s="4319">
        <v>0</v>
      </c>
    </row>
    <row r="101" spans="1:64" s="4574" customFormat="1" ht="21" customHeight="1">
      <c r="A101" s="2197"/>
      <c r="B101" s="2197"/>
      <c r="C101" s="2197"/>
      <c r="D101" s="2197"/>
      <c r="E101" s="5470"/>
      <c r="F101" s="5470"/>
      <c r="G101" s="5470" t="s">
        <v>91</v>
      </c>
      <c r="H101" s="5470"/>
      <c r="I101" s="5471"/>
      <c r="J101" s="2197"/>
      <c r="K101" s="2197"/>
      <c r="L101" s="2198"/>
      <c r="M101" s="2208"/>
      <c r="N101" s="2208"/>
      <c r="O101" s="2208"/>
      <c r="P101" s="5473"/>
      <c r="Q101" s="2209"/>
      <c r="R101" s="2210"/>
      <c r="S101" s="2618"/>
      <c r="T101" s="2619" t="s">
        <v>505</v>
      </c>
      <c r="U101" s="2620"/>
      <c r="V101" s="2621"/>
      <c r="W101" s="2622"/>
      <c r="X101" s="2623"/>
      <c r="Y101" s="2624"/>
      <c r="Z101" s="2625"/>
      <c r="AA101" s="2626"/>
      <c r="AB101" s="2627"/>
      <c r="AC101" s="2628"/>
      <c r="AD101" s="2629"/>
      <c r="AE101" s="2630"/>
      <c r="AF101" s="2631"/>
      <c r="AG101" s="2632"/>
      <c r="AH101" s="2633"/>
      <c r="AI101" s="2634"/>
      <c r="AJ101" s="2635"/>
      <c r="AK101" s="2636"/>
      <c r="AL101" s="2637"/>
      <c r="AM101" s="2638"/>
      <c r="AN101" s="2639"/>
      <c r="AO101" s="2640"/>
      <c r="AP101" s="2641"/>
      <c r="AQ101" s="2642"/>
      <c r="AR101" s="2643"/>
      <c r="AS101" s="2644"/>
      <c r="AT101" s="2645"/>
      <c r="AU101" s="2646"/>
      <c r="AV101" s="2647"/>
      <c r="AW101" s="2648"/>
      <c r="AX101" s="2649"/>
      <c r="AY101" s="2650"/>
      <c r="AZ101" s="2651"/>
      <c r="BA101" s="2652"/>
      <c r="BB101" s="2653"/>
      <c r="BC101" s="2654"/>
      <c r="BD101" s="2655"/>
      <c r="BE101" s="2656"/>
      <c r="BF101" s="2657"/>
      <c r="BG101" s="2129"/>
      <c r="BH101" s="2207"/>
      <c r="BI101" s="2207" t="str">
        <f t="shared" si="1"/>
        <v>Добавить группу потребителей</v>
      </c>
      <c r="BJ101" s="2207"/>
      <c r="BK101" s="2207"/>
      <c r="BL101" s="2054">
        <v>0</v>
      </c>
    </row>
    <row r="102" spans="1:64" s="4575" customFormat="1" ht="21" customHeight="1">
      <c r="A102" s="2197"/>
      <c r="B102" s="2197"/>
      <c r="C102" s="2197"/>
      <c r="D102" s="2197"/>
      <c r="E102" s="5470"/>
      <c r="F102" s="5470"/>
      <c r="G102" s="5470" t="s">
        <v>91</v>
      </c>
      <c r="H102" s="5469"/>
      <c r="I102" s="2197"/>
      <c r="J102" s="2197"/>
      <c r="K102" s="2197"/>
      <c r="L102" s="2198"/>
      <c r="M102" s="2199"/>
      <c r="N102" s="2199"/>
      <c r="O102" s="2123"/>
      <c r="P102" s="2298"/>
      <c r="Q102" s="2299"/>
      <c r="R102" s="2300"/>
      <c r="S102" s="2658"/>
      <c r="T102" s="2659" t="s">
        <v>578</v>
      </c>
      <c r="U102" s="2660"/>
      <c r="V102" s="2661"/>
      <c r="W102" s="2662"/>
      <c r="X102" s="2663"/>
      <c r="Y102" s="2664"/>
      <c r="Z102" s="2665"/>
      <c r="AA102" s="2666"/>
      <c r="AB102" s="2667"/>
      <c r="AC102" s="2668"/>
      <c r="AD102" s="2669"/>
      <c r="AE102" s="2670"/>
      <c r="AF102" s="2671"/>
      <c r="AG102" s="2672"/>
      <c r="AH102" s="2673"/>
      <c r="AI102" s="2674"/>
      <c r="AJ102" s="2675"/>
      <c r="AK102" s="2676"/>
      <c r="AL102" s="2677"/>
      <c r="AM102" s="2678"/>
      <c r="AN102" s="2679"/>
      <c r="AO102" s="2680"/>
      <c r="AP102" s="2681"/>
      <c r="AQ102" s="2682"/>
      <c r="AR102" s="2683"/>
      <c r="AS102" s="2684"/>
      <c r="AT102" s="2685"/>
      <c r="AU102" s="2686"/>
      <c r="AV102" s="2687"/>
      <c r="AW102" s="2688"/>
      <c r="AX102" s="2689"/>
      <c r="AY102" s="2690"/>
      <c r="AZ102" s="2691"/>
      <c r="BA102" s="2692"/>
      <c r="BB102" s="2693"/>
      <c r="BC102" s="2694"/>
      <c r="BD102" s="2695"/>
      <c r="BE102" s="2696"/>
      <c r="BF102" s="2697"/>
      <c r="BG102" s="2129"/>
      <c r="BH102" s="2207"/>
      <c r="BI102" s="2207" t="str">
        <f t="shared" si="1"/>
        <v>Добавить наименование признака дифференциации</v>
      </c>
      <c r="BJ102" s="2207"/>
      <c r="BK102" s="2207"/>
      <c r="BL102" s="2054">
        <v>0</v>
      </c>
    </row>
    <row r="103" spans="1:64" s="4275" customFormat="1" ht="0" hidden="1" customHeight="1">
      <c r="A103" s="1264" t="s">
        <v>297</v>
      </c>
      <c r="B103" s="1264" t="s">
        <v>298</v>
      </c>
      <c r="C103" s="1235"/>
      <c r="D103" s="1235"/>
      <c r="E103" s="5470"/>
      <c r="F103" s="5469"/>
      <c r="G103" s="1235"/>
      <c r="H103" s="1235"/>
      <c r="I103" s="1235"/>
      <c r="J103" s="1235"/>
      <c r="K103" s="1235"/>
      <c r="L103" s="1415"/>
      <c r="M103" s="1242"/>
      <c r="N103" s="1242"/>
      <c r="P103" s="1237"/>
      <c r="Q103" s="1238"/>
      <c r="R103" s="1237"/>
      <c r="S103" s="1243"/>
      <c r="T103" s="1246" t="s">
        <v>312</v>
      </c>
      <c r="U103" s="1245"/>
      <c r="V103" s="1245"/>
      <c r="W103" s="1245"/>
      <c r="X103" s="1245"/>
      <c r="Y103" s="1245"/>
      <c r="Z103" s="1245"/>
      <c r="AA103" s="1245"/>
      <c r="AB103" s="1245"/>
      <c r="AC103" s="1245"/>
      <c r="AD103" s="1245"/>
      <c r="AE103" s="1245"/>
      <c r="AF103" s="1245"/>
      <c r="AG103" s="1245"/>
      <c r="AH103" s="1245"/>
      <c r="AI103" s="1245"/>
      <c r="AJ103" s="2122"/>
      <c r="AK103" s="2122"/>
      <c r="AL103" s="2122"/>
      <c r="AM103" s="2122"/>
      <c r="AN103" s="2122"/>
      <c r="AO103" s="2122"/>
      <c r="AP103" s="2122"/>
      <c r="AQ103" s="2122"/>
      <c r="AR103" s="2122"/>
      <c r="AS103" s="2122"/>
      <c r="AT103" s="2122"/>
      <c r="AU103" s="2122"/>
      <c r="AV103" s="2122"/>
      <c r="AW103" s="2122"/>
      <c r="AX103" s="2122"/>
      <c r="AY103" s="2122"/>
      <c r="AZ103" s="2122"/>
      <c r="BA103" s="2122"/>
      <c r="BB103" s="2122"/>
      <c r="BC103" s="2122"/>
      <c r="BD103" s="2122"/>
      <c r="BE103" s="1245"/>
      <c r="BF103" s="1245"/>
      <c r="BH103" s="721"/>
      <c r="BI103" s="721" t="str">
        <f t="shared" si="1"/>
        <v>Добавить централизованную систему для дифференциации</v>
      </c>
      <c r="BJ103" s="721"/>
      <c r="BK103" s="721"/>
      <c r="BL103" s="456">
        <v>0</v>
      </c>
    </row>
    <row r="104" spans="1:64" s="4576" customFormat="1" ht="23.25" customHeight="1">
      <c r="A104" s="2197"/>
      <c r="B104" s="2197" t="s">
        <v>314</v>
      </c>
      <c r="C104" s="2197"/>
      <c r="D104" s="2197"/>
      <c r="E104" s="5470"/>
      <c r="F104" s="5469" t="s">
        <v>103</v>
      </c>
      <c r="G104" s="2197"/>
      <c r="H104" s="2197"/>
      <c r="I104" s="2197"/>
      <c r="J104" s="2197"/>
      <c r="K104" s="2197"/>
      <c r="L104" s="2198"/>
      <c r="M104" s="2199"/>
      <c r="N104" s="2199"/>
      <c r="O104" s="2199"/>
      <c r="P104" s="2698"/>
      <c r="Q104" s="2201"/>
      <c r="R104" s="2202"/>
      <c r="S104" s="2203" t="str">
        <f>INDEX(PT_DIFFERENTIATION_NUM_TER,MATCH(B104,PT_DIFFERENTIATION_TER_ID,0))</f>
        <v>1.2</v>
      </c>
      <c r="T104" s="2699" t="s">
        <v>490</v>
      </c>
      <c r="U104" s="2205"/>
      <c r="V104" s="5463"/>
      <c r="W104" s="5464"/>
      <c r="X104" s="5464"/>
      <c r="Y104" s="5464"/>
      <c r="Z104" s="5464"/>
      <c r="AA104" s="5464"/>
      <c r="AB104" s="5465"/>
      <c r="AC104" s="5463" t="str">
        <f>INDEX(PT_DIFFERENTIATION_TER,MATCH(B104,PT_DIFFERENTIATION_TER_ID,0))</f>
        <v>Территория 2</v>
      </c>
      <c r="AD104" s="5464"/>
      <c r="AE104" s="5464"/>
      <c r="AF104" s="5464"/>
      <c r="AG104" s="5464"/>
      <c r="AH104" s="5464"/>
      <c r="AI104" s="5464"/>
      <c r="AJ104" s="5463"/>
      <c r="AK104" s="5464"/>
      <c r="AL104" s="5464"/>
      <c r="AM104" s="5464"/>
      <c r="AN104" s="5464"/>
      <c r="AO104" s="5464"/>
      <c r="AP104" s="5465"/>
      <c r="AQ104" s="5463"/>
      <c r="AR104" s="5464"/>
      <c r="AS104" s="5464"/>
      <c r="AT104" s="5464"/>
      <c r="AU104" s="5464"/>
      <c r="AV104" s="5464"/>
      <c r="AW104" s="5465"/>
      <c r="AX104" s="5463"/>
      <c r="AY104" s="5464"/>
      <c r="AZ104" s="5464"/>
      <c r="BA104" s="5464"/>
      <c r="BB104" s="5464"/>
      <c r="BC104" s="5464"/>
      <c r="BD104" s="5465"/>
      <c r="BE104" s="5465"/>
      <c r="BF104" s="2206" t="s">
        <v>491</v>
      </c>
      <c r="BG104" s="2129"/>
      <c r="BH104" s="2207"/>
      <c r="BI104" s="2207" t="str">
        <f t="shared" si="1"/>
        <v>Территория действия тарифа</v>
      </c>
      <c r="BJ104" s="2207"/>
      <c r="BK104" s="2207"/>
      <c r="BL104" s="2054">
        <v>0</v>
      </c>
    </row>
    <row r="105" spans="1:64" s="4577" customFormat="1" ht="23.25" customHeight="1">
      <c r="A105" s="2197"/>
      <c r="B105" s="2197"/>
      <c r="C105" s="2197" t="s">
        <v>315</v>
      </c>
      <c r="D105" s="2197"/>
      <c r="E105" s="5470"/>
      <c r="F105" s="5470">
        <v>1</v>
      </c>
      <c r="G105" s="5469">
        <v>1</v>
      </c>
      <c r="H105" s="2197"/>
      <c r="I105" s="2197"/>
      <c r="J105" s="2197"/>
      <c r="K105" s="2197"/>
      <c r="L105" s="2198"/>
      <c r="M105" s="2199"/>
      <c r="N105" s="2199"/>
      <c r="O105" s="2199"/>
      <c r="P105" s="2200"/>
      <c r="Q105" s="2201"/>
      <c r="R105" s="2202"/>
      <c r="S105" s="2203" t="str">
        <f>INDEX(PT_DIFFERENTIATION_NUM_CS,MATCH(C105,PT_DIFFERENTIATION_CS_ID,0))</f>
        <v>1.2.1</v>
      </c>
      <c r="T105" s="2204" t="s">
        <v>606</v>
      </c>
      <c r="U105" s="2205"/>
      <c r="V105" s="5463"/>
      <c r="W105" s="5464"/>
      <c r="X105" s="5464"/>
      <c r="Y105" s="5464"/>
      <c r="Z105" s="5464"/>
      <c r="AA105" s="5464"/>
      <c r="AB105" s="5465"/>
      <c r="AC105" s="5463" t="str">
        <f>INDEX(PT_DIFFERENTIATION_CS,MATCH(C105,PT_DIFFERENTIATION_CS_ID,0))</f>
        <v>с. Многоудобное</v>
      </c>
      <c r="AD105" s="5464"/>
      <c r="AE105" s="5464"/>
      <c r="AF105" s="5464"/>
      <c r="AG105" s="5464"/>
      <c r="AH105" s="5464"/>
      <c r="AI105" s="5464"/>
      <c r="AJ105" s="5463"/>
      <c r="AK105" s="5464"/>
      <c r="AL105" s="5464"/>
      <c r="AM105" s="5464"/>
      <c r="AN105" s="5464"/>
      <c r="AO105" s="5464"/>
      <c r="AP105" s="5465"/>
      <c r="AQ105" s="5463"/>
      <c r="AR105" s="5464"/>
      <c r="AS105" s="5464"/>
      <c r="AT105" s="5464"/>
      <c r="AU105" s="5464"/>
      <c r="AV105" s="5464"/>
      <c r="AW105" s="5465"/>
      <c r="AX105" s="5463"/>
      <c r="AY105" s="5464"/>
      <c r="AZ105" s="5464"/>
      <c r="BA105" s="5464"/>
      <c r="BB105" s="5464"/>
      <c r="BC105" s="5464"/>
      <c r="BD105" s="5465"/>
      <c r="BE105" s="5465"/>
      <c r="BF105" s="2206" t="s">
        <v>607</v>
      </c>
      <c r="BG105" s="2129"/>
      <c r="BH105" s="2207"/>
      <c r="BI105" s="2207" t="str">
        <f t="shared" ref="BI105:BI168" si="2">IF(T105="","",T105)</f>
        <v>Наименование централизованной системы водоотведения</v>
      </c>
      <c r="BJ105" s="2207"/>
      <c r="BK105" s="2207"/>
      <c r="BL105" s="2054">
        <v>0</v>
      </c>
    </row>
    <row r="106" spans="1:64" s="4578" customFormat="1" ht="23.25" customHeight="1">
      <c r="A106" s="2197"/>
      <c r="B106" s="2197"/>
      <c r="C106" s="2197"/>
      <c r="D106" s="2197"/>
      <c r="E106" s="5470"/>
      <c r="F106" s="5470">
        <v>1</v>
      </c>
      <c r="G106" s="5470"/>
      <c r="H106" s="5470"/>
      <c r="I106" s="5471" t="str">
        <f>S105&amp;".1"</f>
        <v>1.2.1.1</v>
      </c>
      <c r="J106" s="2197"/>
      <c r="K106" s="2197"/>
      <c r="L106" s="2198"/>
      <c r="M106" s="2208"/>
      <c r="N106" s="2208"/>
      <c r="O106" s="2208"/>
      <c r="P106" s="5473">
        <v>1</v>
      </c>
      <c r="Q106" s="2209"/>
      <c r="R106" s="2210"/>
      <c r="S106" s="2203" t="str">
        <f>$I106</f>
        <v>1.2.1.1</v>
      </c>
      <c r="T106" s="2211" t="s">
        <v>573</v>
      </c>
      <c r="U106" s="2205"/>
      <c r="V106" s="5537"/>
      <c r="W106" s="5538"/>
      <c r="X106" s="5538"/>
      <c r="Y106" s="5538"/>
      <c r="Z106" s="5538"/>
      <c r="AA106" s="5538"/>
      <c r="AB106" s="5539"/>
      <c r="AC106" s="5540"/>
      <c r="AD106" s="5541"/>
      <c r="AE106" s="5541"/>
      <c r="AF106" s="5541"/>
      <c r="AG106" s="5541"/>
      <c r="AH106" s="5541"/>
      <c r="AI106" s="5541"/>
      <c r="AJ106" s="5537"/>
      <c r="AK106" s="5538"/>
      <c r="AL106" s="5538"/>
      <c r="AM106" s="5538"/>
      <c r="AN106" s="5538"/>
      <c r="AO106" s="5538"/>
      <c r="AP106" s="5539"/>
      <c r="AQ106" s="5537"/>
      <c r="AR106" s="5538"/>
      <c r="AS106" s="5538"/>
      <c r="AT106" s="5538"/>
      <c r="AU106" s="5538"/>
      <c r="AV106" s="5538"/>
      <c r="AW106" s="5539"/>
      <c r="AX106" s="5537"/>
      <c r="AY106" s="5538"/>
      <c r="AZ106" s="5538"/>
      <c r="BA106" s="5538"/>
      <c r="BB106" s="5538"/>
      <c r="BC106" s="5538"/>
      <c r="BD106" s="5539"/>
      <c r="BE106" s="5542"/>
      <c r="BF106" s="2206" t="s">
        <v>574</v>
      </c>
      <c r="BG106" s="2129"/>
      <c r="BH106" s="2207"/>
      <c r="BI106" s="2207" t="str">
        <f t="shared" si="2"/>
        <v>Наименование признака дифференциации</v>
      </c>
      <c r="BJ106" s="2207"/>
      <c r="BK106" s="2207"/>
      <c r="BL106" s="2054">
        <v>0</v>
      </c>
    </row>
    <row r="107" spans="1:64" s="4579" customFormat="1" ht="23.25" customHeight="1">
      <c r="A107" s="2197"/>
      <c r="B107" s="2197"/>
      <c r="C107" s="2197"/>
      <c r="D107" s="2197"/>
      <c r="E107" s="5470"/>
      <c r="F107" s="5470">
        <v>1</v>
      </c>
      <c r="G107" s="5470"/>
      <c r="H107" s="5470"/>
      <c r="I107" s="5472"/>
      <c r="J107" s="5471" t="str">
        <f>I106&amp;".1"</f>
        <v>1.2.1.1.1</v>
      </c>
      <c r="K107" s="2197"/>
      <c r="L107" s="2198" t="s">
        <v>499</v>
      </c>
      <c r="M107" s="2208"/>
      <c r="N107" s="2208"/>
      <c r="O107" s="2208"/>
      <c r="P107" s="5473"/>
      <c r="Q107" s="5473">
        <v>1</v>
      </c>
      <c r="R107" s="2212"/>
      <c r="S107" s="2203" t="str">
        <f>$J107</f>
        <v>1.2.1.1.1</v>
      </c>
      <c r="T107" s="2213" t="s">
        <v>500</v>
      </c>
      <c r="U107" s="2205"/>
      <c r="V107" s="5457"/>
      <c r="W107" s="5458"/>
      <c r="X107" s="5458"/>
      <c r="Y107" s="5458"/>
      <c r="Z107" s="5458"/>
      <c r="AA107" s="5458"/>
      <c r="AB107" s="5459"/>
      <c r="AC107" s="5457" t="s">
        <v>611</v>
      </c>
      <c r="AD107" s="5458"/>
      <c r="AE107" s="5458"/>
      <c r="AF107" s="5458"/>
      <c r="AG107" s="5458"/>
      <c r="AH107" s="5458"/>
      <c r="AI107" s="5458"/>
      <c r="AJ107" s="5457"/>
      <c r="AK107" s="5458"/>
      <c r="AL107" s="5458"/>
      <c r="AM107" s="5458"/>
      <c r="AN107" s="5458"/>
      <c r="AO107" s="5458"/>
      <c r="AP107" s="5459"/>
      <c r="AQ107" s="5457"/>
      <c r="AR107" s="5458"/>
      <c r="AS107" s="5458"/>
      <c r="AT107" s="5458"/>
      <c r="AU107" s="5458"/>
      <c r="AV107" s="5458"/>
      <c r="AW107" s="5459"/>
      <c r="AX107" s="5457"/>
      <c r="AY107" s="5458"/>
      <c r="AZ107" s="5458"/>
      <c r="BA107" s="5458"/>
      <c r="BB107" s="5458"/>
      <c r="BC107" s="5458"/>
      <c r="BD107" s="5459"/>
      <c r="BE107" s="5459"/>
      <c r="BF107" s="2214" t="s">
        <v>575</v>
      </c>
      <c r="BG107" s="2129"/>
      <c r="BH107" s="2207"/>
      <c r="BI107" s="2207" t="str">
        <f t="shared" si="2"/>
        <v>Группа потребителей</v>
      </c>
      <c r="BJ107" s="2207"/>
      <c r="BK107" s="2207"/>
      <c r="BL107" s="2054">
        <v>0</v>
      </c>
    </row>
    <row r="108" spans="1:64" s="4580" customFormat="1" ht="23.25" customHeight="1">
      <c r="A108" s="2197"/>
      <c r="B108" s="2197"/>
      <c r="C108" s="2197"/>
      <c r="D108" s="2197"/>
      <c r="E108" s="5470"/>
      <c r="F108" s="5470">
        <v>1</v>
      </c>
      <c r="G108" s="5470"/>
      <c r="H108" s="5470"/>
      <c r="I108" s="5472"/>
      <c r="J108" s="5472"/>
      <c r="K108" s="5471" t="str">
        <f>J107&amp;".1"</f>
        <v>1.2.1.1.1.1</v>
      </c>
      <c r="L108" s="2198"/>
      <c r="M108" s="2208"/>
      <c r="N108" s="2208"/>
      <c r="O108" s="2208"/>
      <c r="P108" s="5473"/>
      <c r="Q108" s="5473"/>
      <c r="R108" s="2212">
        <v>1</v>
      </c>
      <c r="S108" s="2203" t="str">
        <f>$K108</f>
        <v>1.2.1.1.1.1</v>
      </c>
      <c r="T108" s="2215" t="s">
        <v>569</v>
      </c>
      <c r="U108" s="2205"/>
      <c r="V108" s="2055"/>
      <c r="W108" s="2055"/>
      <c r="X108" s="2056"/>
      <c r="Y108" s="5474"/>
      <c r="Z108" s="5338" t="s">
        <v>66</v>
      </c>
      <c r="AA108" s="5474"/>
      <c r="AB108" s="5338" t="s">
        <v>66</v>
      </c>
      <c r="AC108" s="2055">
        <v>66.58</v>
      </c>
      <c r="AD108" s="2055"/>
      <c r="AE108" s="2056"/>
      <c r="AF108" s="5474">
        <v>45658.61309027778</v>
      </c>
      <c r="AG108" s="5338" t="s">
        <v>66</v>
      </c>
      <c r="AH108" s="5476">
        <v>46022.613171296296</v>
      </c>
      <c r="AI108" s="5338" t="s">
        <v>66</v>
      </c>
      <c r="AJ108" s="2055">
        <v>65.680000000000007</v>
      </c>
      <c r="AK108" s="2055"/>
      <c r="AL108" s="2056"/>
      <c r="AM108" s="5474">
        <v>46023.640173611115</v>
      </c>
      <c r="AN108" s="5338" t="s">
        <v>66</v>
      </c>
      <c r="AO108" s="5474">
        <v>46387.640300925923</v>
      </c>
      <c r="AP108" s="5338" t="s">
        <v>66</v>
      </c>
      <c r="AQ108" s="2055">
        <v>67.61</v>
      </c>
      <c r="AR108" s="2055"/>
      <c r="AS108" s="2056"/>
      <c r="AT108" s="5474">
        <v>46388.640439814815</v>
      </c>
      <c r="AU108" s="5338" t="s">
        <v>66</v>
      </c>
      <c r="AV108" s="5474">
        <v>46752.640717592592</v>
      </c>
      <c r="AW108" s="5338" t="s">
        <v>66</v>
      </c>
      <c r="AX108" s="2055">
        <v>69.599999999999994</v>
      </c>
      <c r="AY108" s="2055"/>
      <c r="AZ108" s="2056"/>
      <c r="BA108" s="5474">
        <v>46753.641527777778</v>
      </c>
      <c r="BB108" s="5338" t="s">
        <v>66</v>
      </c>
      <c r="BC108" s="5474">
        <v>47118.641701388886</v>
      </c>
      <c r="BD108" s="5338" t="s">
        <v>66</v>
      </c>
      <c r="BE108" s="2216"/>
      <c r="BF108"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08" s="2129" t="e">
        <f ca="1">STRCHECKDATE(V109:BE109)</f>
        <v>#NAME?</v>
      </c>
      <c r="BH108" s="2207"/>
      <c r="BI108" s="2207" t="str">
        <f t="shared" si="2"/>
        <v>без НДС</v>
      </c>
      <c r="BJ108" s="2207"/>
      <c r="BK108" s="2207"/>
      <c r="BL108" s="2054">
        <v>0</v>
      </c>
    </row>
    <row r="109" spans="1:64" s="4581" customFormat="1" ht="14.25" customHeight="1">
      <c r="A109" s="2197"/>
      <c r="B109" s="2197"/>
      <c r="C109" s="2197"/>
      <c r="D109" s="2197"/>
      <c r="E109" s="5470"/>
      <c r="F109" s="5470">
        <v>1</v>
      </c>
      <c r="G109" s="5470"/>
      <c r="H109" s="5470"/>
      <c r="I109" s="5472"/>
      <c r="J109" s="5472"/>
      <c r="K109" s="5471"/>
      <c r="L109" s="2198"/>
      <c r="M109" s="2208"/>
      <c r="N109" s="2208"/>
      <c r="O109" s="2208"/>
      <c r="P109" s="5473"/>
      <c r="Q109" s="5473"/>
      <c r="R109" s="2212"/>
      <c r="S109" s="2217"/>
      <c r="T109" s="2205"/>
      <c r="U109" s="2205"/>
      <c r="V109" s="2057"/>
      <c r="W109" s="2057"/>
      <c r="X109" s="2058" t="str">
        <f>Y108&amp;"-"&amp;AA108</f>
        <v>-</v>
      </c>
      <c r="Y109" s="5475"/>
      <c r="Z109" s="5338"/>
      <c r="AA109" s="5475"/>
      <c r="AB109" s="5338"/>
      <c r="AC109" s="2057"/>
      <c r="AD109" s="2057"/>
      <c r="AE109" s="2058" t="str">
        <f>AF108&amp;"-"&amp;AH108</f>
        <v>45658,6130902778-46022,6131712963</v>
      </c>
      <c r="AF109" s="5475"/>
      <c r="AG109" s="5338"/>
      <c r="AH109" s="5477"/>
      <c r="AI109" s="5338"/>
      <c r="AJ109" s="2057"/>
      <c r="AK109" s="2057"/>
      <c r="AL109" s="2058" t="str">
        <f>AM108&amp;"-"&amp;AO108</f>
        <v>46023,6401736111-46387,6403009259</v>
      </c>
      <c r="AM109" s="5475"/>
      <c r="AN109" s="5338"/>
      <c r="AO109" s="5475"/>
      <c r="AP109" s="5338"/>
      <c r="AQ109" s="2057"/>
      <c r="AR109" s="2057"/>
      <c r="AS109" s="2058" t="str">
        <f>AT108&amp;"-"&amp;AV108</f>
        <v>46388,6404398148-46752,6407175926</v>
      </c>
      <c r="AT109" s="5475"/>
      <c r="AU109" s="5338"/>
      <c r="AV109" s="5475"/>
      <c r="AW109" s="5338"/>
      <c r="AX109" s="2057"/>
      <c r="AY109" s="2057"/>
      <c r="AZ109" s="2058" t="str">
        <f>BA108&amp;"-"&amp;BC108</f>
        <v>46753,6415277778-47118,6417013889</v>
      </c>
      <c r="BA109" s="5475"/>
      <c r="BB109" s="5338"/>
      <c r="BC109" s="5475"/>
      <c r="BD109" s="5338"/>
      <c r="BE109" s="2218"/>
      <c r="BF109" s="5543"/>
      <c r="BG109" s="2129"/>
      <c r="BH109" s="2207"/>
      <c r="BI109" s="2207" t="str">
        <f t="shared" si="2"/>
        <v/>
      </c>
      <c r="BJ109" s="2207"/>
      <c r="BK109" s="2207"/>
      <c r="BL109" s="2054">
        <v>0</v>
      </c>
    </row>
    <row r="110" spans="1:64" s="4582" customFormat="1" ht="21" customHeight="1">
      <c r="A110" s="2197"/>
      <c r="B110" s="2197"/>
      <c r="C110" s="2197"/>
      <c r="D110" s="2197"/>
      <c r="E110" s="5470"/>
      <c r="F110" s="5470">
        <v>1</v>
      </c>
      <c r="G110" s="5470"/>
      <c r="H110" s="5470"/>
      <c r="I110" s="5472"/>
      <c r="J110" s="5471"/>
      <c r="K110" s="2197"/>
      <c r="L110" s="2198"/>
      <c r="M110" s="2208"/>
      <c r="N110" s="2208"/>
      <c r="O110" s="2208"/>
      <c r="P110" s="5473"/>
      <c r="Q110" s="5473"/>
      <c r="R110" s="2210"/>
      <c r="S110" s="2700"/>
      <c r="T110" s="2701" t="s">
        <v>576</v>
      </c>
      <c r="U110" s="2702"/>
      <c r="V110" s="2703"/>
      <c r="W110" s="2704"/>
      <c r="X110" s="2705"/>
      <c r="Y110" s="2706"/>
      <c r="Z110" s="2707"/>
      <c r="AA110" s="2708"/>
      <c r="AB110" s="2709"/>
      <c r="AC110" s="2710"/>
      <c r="AD110" s="2711"/>
      <c r="AE110" s="2712"/>
      <c r="AF110" s="2713"/>
      <c r="AG110" s="2714"/>
      <c r="AH110" s="2715"/>
      <c r="AI110" s="2716"/>
      <c r="AJ110" s="2717"/>
      <c r="AK110" s="2718"/>
      <c r="AL110" s="2719"/>
      <c r="AM110" s="2720"/>
      <c r="AN110" s="2721"/>
      <c r="AO110" s="2722"/>
      <c r="AP110" s="2723"/>
      <c r="AQ110" s="2724"/>
      <c r="AR110" s="2725"/>
      <c r="AS110" s="2726"/>
      <c r="AT110" s="2727"/>
      <c r="AU110" s="2728"/>
      <c r="AV110" s="2729"/>
      <c r="AW110" s="2730"/>
      <c r="AX110" s="2731"/>
      <c r="AY110" s="2732"/>
      <c r="AZ110" s="2733"/>
      <c r="BA110" s="2734"/>
      <c r="BB110" s="2735"/>
      <c r="BC110" s="2736"/>
      <c r="BD110" s="2737"/>
      <c r="BE110" s="2738"/>
      <c r="BF110" s="2206" t="s">
        <v>577</v>
      </c>
      <c r="BG110" s="2129"/>
      <c r="BH110" s="2207"/>
      <c r="BI110" s="2207" t="str">
        <f t="shared" si="2"/>
        <v>Добавить значение признака дифференциации</v>
      </c>
      <c r="BJ110" s="2207"/>
      <c r="BK110" s="2207"/>
      <c r="BL110" s="2054">
        <v>0</v>
      </c>
    </row>
    <row r="111" spans="1:64" s="4583" customFormat="1" ht="23.25" customHeight="1">
      <c r="A111" s="4309"/>
      <c r="B111" s="4309"/>
      <c r="C111" s="4309"/>
      <c r="D111" s="4309"/>
      <c r="E111" s="5470"/>
      <c r="F111" s="5470"/>
      <c r="G111" s="5470"/>
      <c r="H111" s="5470"/>
      <c r="I111" s="5472"/>
      <c r="J111" s="5471" t="str">
        <f>I106&amp;".2"</f>
        <v>1.2.1.1.2</v>
      </c>
      <c r="K111" s="4309"/>
      <c r="L111" s="4310" t="s">
        <v>499</v>
      </c>
      <c r="M111" s="4311"/>
      <c r="N111" s="4311"/>
      <c r="O111" s="4311"/>
      <c r="P111" s="5473"/>
      <c r="Q111" s="5553" t="s">
        <v>104</v>
      </c>
      <c r="R111" s="4312"/>
      <c r="S111" s="4313" t="str">
        <f>$J111</f>
        <v>1.2.1.1.2</v>
      </c>
      <c r="T111" s="4314" t="s">
        <v>500</v>
      </c>
      <c r="U111" s="4315"/>
      <c r="V111" s="5457"/>
      <c r="W111" s="5458"/>
      <c r="X111" s="5458"/>
      <c r="Y111" s="5458"/>
      <c r="Z111" s="5458"/>
      <c r="AA111" s="5458"/>
      <c r="AB111" s="5459"/>
      <c r="AC111" s="5457" t="s">
        <v>612</v>
      </c>
      <c r="AD111" s="5458"/>
      <c r="AE111" s="5458"/>
      <c r="AF111" s="5458"/>
      <c r="AG111" s="5458"/>
      <c r="AH111" s="5458"/>
      <c r="AI111" s="5458"/>
      <c r="AJ111" s="5457"/>
      <c r="AK111" s="5458"/>
      <c r="AL111" s="5458"/>
      <c r="AM111" s="5458"/>
      <c r="AN111" s="5458"/>
      <c r="AO111" s="5458"/>
      <c r="AP111" s="5459"/>
      <c r="AQ111" s="5457"/>
      <c r="AR111" s="5458"/>
      <c r="AS111" s="5458"/>
      <c r="AT111" s="5458"/>
      <c r="AU111" s="5458"/>
      <c r="AV111" s="5458"/>
      <c r="AW111" s="5459"/>
      <c r="AX111" s="5457"/>
      <c r="AY111" s="5458"/>
      <c r="AZ111" s="5458"/>
      <c r="BA111" s="5458"/>
      <c r="BB111" s="5458"/>
      <c r="BC111" s="5458"/>
      <c r="BD111" s="5554"/>
      <c r="BE111" s="5459"/>
      <c r="BF111" s="4316" t="s">
        <v>575</v>
      </c>
      <c r="BG111" s="4317"/>
      <c r="BH111" s="4318"/>
      <c r="BI111" s="4318" t="str">
        <f t="shared" si="2"/>
        <v>Группа потребителей</v>
      </c>
      <c r="BJ111" s="4318"/>
      <c r="BK111" s="4318"/>
      <c r="BL111" s="4319">
        <v>0</v>
      </c>
    </row>
    <row r="112" spans="1:64" s="4584" customFormat="1" ht="23.25" customHeight="1">
      <c r="A112" s="4309"/>
      <c r="B112" s="4309"/>
      <c r="C112" s="4309"/>
      <c r="D112" s="4309"/>
      <c r="E112" s="5470"/>
      <c r="F112" s="5470"/>
      <c r="G112" s="5470"/>
      <c r="H112" s="5470"/>
      <c r="I112" s="5472"/>
      <c r="J112" s="5472" t="str">
        <f>I106&amp;".1"</f>
        <v>1.2.1.1.1</v>
      </c>
      <c r="K112" s="5471" t="str">
        <f>J111&amp;".1"</f>
        <v>1.2.1.1.2.1</v>
      </c>
      <c r="L112" s="4310"/>
      <c r="M112" s="4311"/>
      <c r="N112" s="4311"/>
      <c r="O112" s="4311"/>
      <c r="P112" s="5473"/>
      <c r="Q112" s="5473"/>
      <c r="R112" s="4312">
        <v>1</v>
      </c>
      <c r="S112" s="4313" t="str">
        <f>$K112</f>
        <v>1.2.1.1.2.1</v>
      </c>
      <c r="T112" s="4321" t="s">
        <v>568</v>
      </c>
      <c r="U112" s="4315"/>
      <c r="V112" s="4322"/>
      <c r="W112" s="4322"/>
      <c r="X112" s="4323"/>
      <c r="Y112" s="5474"/>
      <c r="Z112" s="5338" t="s">
        <v>66</v>
      </c>
      <c r="AA112" s="5474"/>
      <c r="AB112" s="5338" t="s">
        <v>66</v>
      </c>
      <c r="AC112" s="4322">
        <v>79.900000000000006</v>
      </c>
      <c r="AD112" s="4322"/>
      <c r="AE112" s="4323"/>
      <c r="AF112" s="5474">
        <v>45658.652719907404</v>
      </c>
      <c r="AG112" s="5338" t="s">
        <v>66</v>
      </c>
      <c r="AH112" s="5476">
        <v>46022.652662037035</v>
      </c>
      <c r="AI112" s="5338" t="s">
        <v>66</v>
      </c>
      <c r="AJ112" s="4322">
        <v>78.819999999999993</v>
      </c>
      <c r="AK112" s="4322"/>
      <c r="AL112" s="4323"/>
      <c r="AM112" s="5474">
        <v>46023.652499999997</v>
      </c>
      <c r="AN112" s="5338" t="s">
        <v>66</v>
      </c>
      <c r="AO112" s="5474">
        <v>46387.652395833335</v>
      </c>
      <c r="AP112" s="5338" t="s">
        <v>66</v>
      </c>
      <c r="AQ112" s="4322">
        <v>81.13</v>
      </c>
      <c r="AR112" s="4322"/>
      <c r="AS112" s="4323"/>
      <c r="AT112" s="5474">
        <v>46388.652222222219</v>
      </c>
      <c r="AU112" s="5338" t="s">
        <v>66</v>
      </c>
      <c r="AV112" s="5474">
        <v>46752.652141203704</v>
      </c>
      <c r="AW112" s="5338" t="s">
        <v>66</v>
      </c>
      <c r="AX112" s="4322">
        <v>83.52</v>
      </c>
      <c r="AY112" s="4322"/>
      <c r="AZ112" s="4323"/>
      <c r="BA112" s="5474">
        <v>46753.651944444442</v>
      </c>
      <c r="BB112" s="5338" t="s">
        <v>66</v>
      </c>
      <c r="BC112" s="5474">
        <v>47118.652025462965</v>
      </c>
      <c r="BD112" s="5555" t="s">
        <v>66</v>
      </c>
      <c r="BE112" s="4324"/>
      <c r="BF112"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12" s="4317" t="e">
        <f ca="1">STRCHECKDATE(V113:BE113)</f>
        <v>#NAME?</v>
      </c>
      <c r="BH112" s="4318"/>
      <c r="BI112" s="4318" t="str">
        <f t="shared" si="2"/>
        <v>с НДС</v>
      </c>
      <c r="BJ112" s="4318"/>
      <c r="BK112" s="4318"/>
      <c r="BL112" s="4319">
        <v>0</v>
      </c>
    </row>
    <row r="113" spans="1:64" s="4585" customFormat="1" ht="14.25" customHeight="1">
      <c r="A113" s="4309"/>
      <c r="B113" s="4309"/>
      <c r="C113" s="4309"/>
      <c r="D113" s="4309"/>
      <c r="E113" s="5470"/>
      <c r="F113" s="5470"/>
      <c r="G113" s="5470"/>
      <c r="H113" s="5470"/>
      <c r="I113" s="5472"/>
      <c r="J113" s="5472" t="str">
        <f>I106&amp;".1"</f>
        <v>1.2.1.1.1</v>
      </c>
      <c r="K113" s="5471"/>
      <c r="L113" s="4310"/>
      <c r="M113" s="4311"/>
      <c r="N113" s="4311"/>
      <c r="O113" s="4311"/>
      <c r="P113" s="5473"/>
      <c r="Q113" s="5473"/>
      <c r="R113" s="4312"/>
      <c r="S113" s="4326"/>
      <c r="T113" s="4315"/>
      <c r="U113" s="4315"/>
      <c r="V113" s="4327"/>
      <c r="W113" s="4327"/>
      <c r="X113" s="4328" t="str">
        <f>Y112&amp;"-"&amp;AA112</f>
        <v>-</v>
      </c>
      <c r="Y113" s="5475"/>
      <c r="Z113" s="5338"/>
      <c r="AA113" s="5475"/>
      <c r="AB113" s="5338"/>
      <c r="AC113" s="4327"/>
      <c r="AD113" s="4327"/>
      <c r="AE113" s="4328" t="str">
        <f>AF112&amp;"-"&amp;AH112</f>
        <v>45658,6527199074-46022,652662037</v>
      </c>
      <c r="AF113" s="5475"/>
      <c r="AG113" s="5338"/>
      <c r="AH113" s="5477"/>
      <c r="AI113" s="5338"/>
      <c r="AJ113" s="4327"/>
      <c r="AK113" s="4327"/>
      <c r="AL113" s="4328" t="str">
        <f>AM112&amp;"-"&amp;AO112</f>
        <v>46023,6525-46387,6523958333</v>
      </c>
      <c r="AM113" s="5475"/>
      <c r="AN113" s="5338"/>
      <c r="AO113" s="5475"/>
      <c r="AP113" s="5338"/>
      <c r="AQ113" s="4327"/>
      <c r="AR113" s="4327"/>
      <c r="AS113" s="4328" t="str">
        <f>AT112&amp;"-"&amp;AV112</f>
        <v>46388,6522222222-46752,6521412037</v>
      </c>
      <c r="AT113" s="5475"/>
      <c r="AU113" s="5338"/>
      <c r="AV113" s="5475"/>
      <c r="AW113" s="5338"/>
      <c r="AX113" s="4327"/>
      <c r="AY113" s="4327"/>
      <c r="AZ113" s="4328" t="str">
        <f>BA112&amp;"-"&amp;BC112</f>
        <v>46753,6519444444-47118,652025463</v>
      </c>
      <c r="BA113" s="5475"/>
      <c r="BB113" s="5338"/>
      <c r="BC113" s="5475"/>
      <c r="BD113" s="5555"/>
      <c r="BE113" s="4329"/>
      <c r="BF113" s="5543"/>
      <c r="BG113" s="4317"/>
      <c r="BH113" s="4318"/>
      <c r="BI113" s="4318" t="str">
        <f t="shared" si="2"/>
        <v/>
      </c>
      <c r="BJ113" s="4318"/>
      <c r="BK113" s="4318"/>
      <c r="BL113" s="4319">
        <v>0</v>
      </c>
    </row>
    <row r="114" spans="1:64" s="4586" customFormat="1" ht="21" customHeight="1">
      <c r="A114" s="4309"/>
      <c r="B114" s="4309"/>
      <c r="C114" s="4309"/>
      <c r="D114" s="4309"/>
      <c r="E114" s="5470"/>
      <c r="F114" s="5470"/>
      <c r="G114" s="5470"/>
      <c r="H114" s="5470"/>
      <c r="I114" s="5472"/>
      <c r="J114" s="5471" t="str">
        <f>I106&amp;".1"</f>
        <v>1.2.1.1.1</v>
      </c>
      <c r="K114" s="4309"/>
      <c r="L114" s="4310"/>
      <c r="M114" s="4311"/>
      <c r="N114" s="4311"/>
      <c r="O114" s="4311"/>
      <c r="P114" s="5473"/>
      <c r="Q114" s="5473"/>
      <c r="R114" s="4331"/>
      <c r="S114" s="4587"/>
      <c r="T114" s="4588" t="s">
        <v>576</v>
      </c>
      <c r="U114" s="4589"/>
      <c r="V114" s="4590"/>
      <c r="W114" s="4591"/>
      <c r="X114" s="4592"/>
      <c r="Y114" s="4593"/>
      <c r="Z114" s="4594"/>
      <c r="AA114" s="4595"/>
      <c r="AB114" s="4596"/>
      <c r="AC114" s="4597"/>
      <c r="AD114" s="4598"/>
      <c r="AE114" s="4599"/>
      <c r="AF114" s="4600"/>
      <c r="AG114" s="4601"/>
      <c r="AH114" s="4602"/>
      <c r="AI114" s="4603"/>
      <c r="AJ114" s="4604"/>
      <c r="AK114" s="4605"/>
      <c r="AL114" s="4606"/>
      <c r="AM114" s="4607"/>
      <c r="AN114" s="4608"/>
      <c r="AO114" s="4609"/>
      <c r="AP114" s="4610"/>
      <c r="AQ114" s="4611"/>
      <c r="AR114" s="4612"/>
      <c r="AS114" s="4613"/>
      <c r="AT114" s="4614"/>
      <c r="AU114" s="4615"/>
      <c r="AV114" s="4616"/>
      <c r="AW114" s="4617"/>
      <c r="AX114" s="4618"/>
      <c r="AY114" s="4619"/>
      <c r="AZ114" s="4620"/>
      <c r="BA114" s="4621"/>
      <c r="BB114" s="4622"/>
      <c r="BC114" s="4623"/>
      <c r="BD114" s="4624"/>
      <c r="BE114" s="4625"/>
      <c r="BF114" s="4371" t="s">
        <v>577</v>
      </c>
      <c r="BG114" s="4317"/>
      <c r="BH114" s="4318"/>
      <c r="BI114" s="4318" t="str">
        <f t="shared" si="2"/>
        <v>Добавить значение признака дифференциации</v>
      </c>
      <c r="BJ114" s="4318"/>
      <c r="BK114" s="4318"/>
      <c r="BL114" s="4319">
        <v>0</v>
      </c>
    </row>
    <row r="115" spans="1:64" s="4626" customFormat="1" ht="21" customHeight="1">
      <c r="A115" s="2197"/>
      <c r="B115" s="2197"/>
      <c r="C115" s="2197"/>
      <c r="D115" s="2197"/>
      <c r="E115" s="5470"/>
      <c r="F115" s="5470">
        <v>1</v>
      </c>
      <c r="G115" s="5470"/>
      <c r="H115" s="5470"/>
      <c r="I115" s="5471"/>
      <c r="J115" s="2197"/>
      <c r="K115" s="2197"/>
      <c r="L115" s="2198"/>
      <c r="M115" s="2208"/>
      <c r="N115" s="2208"/>
      <c r="O115" s="2208"/>
      <c r="P115" s="5473"/>
      <c r="Q115" s="2209"/>
      <c r="R115" s="2210"/>
      <c r="S115" s="2739"/>
      <c r="T115" s="2740" t="s">
        <v>505</v>
      </c>
      <c r="U115" s="2741"/>
      <c r="V115" s="2742"/>
      <c r="W115" s="2743"/>
      <c r="X115" s="2744"/>
      <c r="Y115" s="2745"/>
      <c r="Z115" s="2746"/>
      <c r="AA115" s="2747"/>
      <c r="AB115" s="2748"/>
      <c r="AC115" s="2749"/>
      <c r="AD115" s="2750"/>
      <c r="AE115" s="2751"/>
      <c r="AF115" s="2752"/>
      <c r="AG115" s="2753"/>
      <c r="AH115" s="2754"/>
      <c r="AI115" s="2755"/>
      <c r="AJ115" s="2756"/>
      <c r="AK115" s="2757"/>
      <c r="AL115" s="2758"/>
      <c r="AM115" s="2759"/>
      <c r="AN115" s="2760"/>
      <c r="AO115" s="2761"/>
      <c r="AP115" s="2762"/>
      <c r="AQ115" s="2763"/>
      <c r="AR115" s="2764"/>
      <c r="AS115" s="2765"/>
      <c r="AT115" s="2766"/>
      <c r="AU115" s="2767"/>
      <c r="AV115" s="2768"/>
      <c r="AW115" s="2769"/>
      <c r="AX115" s="2770"/>
      <c r="AY115" s="2771"/>
      <c r="AZ115" s="2772"/>
      <c r="BA115" s="2773"/>
      <c r="BB115" s="2774"/>
      <c r="BC115" s="2775"/>
      <c r="BD115" s="2776"/>
      <c r="BE115" s="2777"/>
      <c r="BF115" s="2778"/>
      <c r="BG115" s="2129"/>
      <c r="BH115" s="2207"/>
      <c r="BI115" s="2207" t="str">
        <f t="shared" si="2"/>
        <v>Добавить группу потребителей</v>
      </c>
      <c r="BJ115" s="2207"/>
      <c r="BK115" s="2207"/>
      <c r="BL115" s="2054">
        <v>0</v>
      </c>
    </row>
    <row r="116" spans="1:64" s="4627" customFormat="1" ht="21" customHeight="1">
      <c r="A116" s="2197"/>
      <c r="B116" s="2197"/>
      <c r="C116" s="2197"/>
      <c r="D116" s="2197"/>
      <c r="E116" s="5470"/>
      <c r="F116" s="5470">
        <v>1</v>
      </c>
      <c r="G116" s="5470"/>
      <c r="H116" s="5469"/>
      <c r="I116" s="2197"/>
      <c r="J116" s="2197"/>
      <c r="K116" s="2197"/>
      <c r="L116" s="2198"/>
      <c r="M116" s="2199"/>
      <c r="N116" s="2199"/>
      <c r="O116" s="2123"/>
      <c r="P116" s="2298"/>
      <c r="Q116" s="2299"/>
      <c r="R116" s="2300"/>
      <c r="S116" s="2779"/>
      <c r="T116" s="2780" t="s">
        <v>578</v>
      </c>
      <c r="U116" s="2781"/>
      <c r="V116" s="2782"/>
      <c r="W116" s="2783"/>
      <c r="X116" s="2784"/>
      <c r="Y116" s="2785"/>
      <c r="Z116" s="2786"/>
      <c r="AA116" s="2787"/>
      <c r="AB116" s="2788"/>
      <c r="AC116" s="2789"/>
      <c r="AD116" s="2790"/>
      <c r="AE116" s="2791"/>
      <c r="AF116" s="2792"/>
      <c r="AG116" s="2793"/>
      <c r="AH116" s="2794"/>
      <c r="AI116" s="2795"/>
      <c r="AJ116" s="2796"/>
      <c r="AK116" s="2797"/>
      <c r="AL116" s="2798"/>
      <c r="AM116" s="2799"/>
      <c r="AN116" s="2800"/>
      <c r="AO116" s="2801"/>
      <c r="AP116" s="2802"/>
      <c r="AQ116" s="2803"/>
      <c r="AR116" s="2804"/>
      <c r="AS116" s="2805"/>
      <c r="AT116" s="2806"/>
      <c r="AU116" s="2807"/>
      <c r="AV116" s="2808"/>
      <c r="AW116" s="2809"/>
      <c r="AX116" s="2810"/>
      <c r="AY116" s="2811"/>
      <c r="AZ116" s="2812"/>
      <c r="BA116" s="2813"/>
      <c r="BB116" s="2814"/>
      <c r="BC116" s="2815"/>
      <c r="BD116" s="2816"/>
      <c r="BE116" s="2817"/>
      <c r="BF116" s="2818"/>
      <c r="BG116" s="2129"/>
      <c r="BH116" s="2207"/>
      <c r="BI116" s="2207" t="str">
        <f t="shared" si="2"/>
        <v>Добавить наименование признака дифференциации</v>
      </c>
      <c r="BJ116" s="2207"/>
      <c r="BK116" s="2207"/>
      <c r="BL116" s="2054">
        <v>0</v>
      </c>
    </row>
    <row r="117" spans="1:64" s="4628" customFormat="1" ht="23.25" customHeight="1">
      <c r="A117" s="2197"/>
      <c r="B117" s="2197"/>
      <c r="C117" s="2197" t="s">
        <v>318</v>
      </c>
      <c r="D117" s="2197"/>
      <c r="E117" s="5470"/>
      <c r="F117" s="5470"/>
      <c r="G117" s="5469" t="s">
        <v>103</v>
      </c>
      <c r="H117" s="2197"/>
      <c r="I117" s="2197"/>
      <c r="J117" s="2197"/>
      <c r="K117" s="2197"/>
      <c r="L117" s="2198"/>
      <c r="M117" s="2199"/>
      <c r="N117" s="2199"/>
      <c r="O117" s="2199"/>
      <c r="P117" s="2200"/>
      <c r="Q117" s="2201"/>
      <c r="R117" s="2202"/>
      <c r="S117" s="2203" t="str">
        <f>INDEX(PT_DIFFERENTIATION_NUM_CS,MATCH(C117,PT_DIFFERENTIATION_CS_ID,0))</f>
        <v>1.2.2</v>
      </c>
      <c r="T117" s="2204" t="s">
        <v>606</v>
      </c>
      <c r="U117" s="2205"/>
      <c r="V117" s="5463"/>
      <c r="W117" s="5464"/>
      <c r="X117" s="5464"/>
      <c r="Y117" s="5464"/>
      <c r="Z117" s="5464"/>
      <c r="AA117" s="5464"/>
      <c r="AB117" s="5465"/>
      <c r="AC117" s="5463" t="str">
        <f>INDEX(PT_DIFFERENTIATION_CS,MATCH(C117,PT_DIFFERENTIATION_CS_ID,0))</f>
        <v>с. Романовка</v>
      </c>
      <c r="AD117" s="5464"/>
      <c r="AE117" s="5464"/>
      <c r="AF117" s="5464"/>
      <c r="AG117" s="5464"/>
      <c r="AH117" s="5464"/>
      <c r="AI117" s="5464"/>
      <c r="AJ117" s="5463"/>
      <c r="AK117" s="5464"/>
      <c r="AL117" s="5464"/>
      <c r="AM117" s="5464"/>
      <c r="AN117" s="5464"/>
      <c r="AO117" s="5464"/>
      <c r="AP117" s="5465"/>
      <c r="AQ117" s="5463"/>
      <c r="AR117" s="5464"/>
      <c r="AS117" s="5464"/>
      <c r="AT117" s="5464"/>
      <c r="AU117" s="5464"/>
      <c r="AV117" s="5464"/>
      <c r="AW117" s="5465"/>
      <c r="AX117" s="5463"/>
      <c r="AY117" s="5464"/>
      <c r="AZ117" s="5464"/>
      <c r="BA117" s="5464"/>
      <c r="BB117" s="5464"/>
      <c r="BC117" s="5464"/>
      <c r="BD117" s="5465"/>
      <c r="BE117" s="5465"/>
      <c r="BF117" s="2206" t="s">
        <v>607</v>
      </c>
      <c r="BG117" s="2129"/>
      <c r="BH117" s="2207"/>
      <c r="BI117" s="2207" t="str">
        <f t="shared" si="2"/>
        <v>Наименование централизованной системы водоотведения</v>
      </c>
      <c r="BJ117" s="2207"/>
      <c r="BK117" s="2207"/>
      <c r="BL117" s="2054">
        <v>0</v>
      </c>
    </row>
    <row r="118" spans="1:64" s="4629" customFormat="1" ht="23.25" customHeight="1">
      <c r="A118" s="2197"/>
      <c r="B118" s="2197"/>
      <c r="C118" s="2197"/>
      <c r="D118" s="2197"/>
      <c r="E118" s="5470"/>
      <c r="F118" s="5470"/>
      <c r="G118" s="5470">
        <v>1</v>
      </c>
      <c r="H118" s="5470"/>
      <c r="I118" s="5471" t="str">
        <f>S117&amp;".1"</f>
        <v>1.2.2.1</v>
      </c>
      <c r="J118" s="2197"/>
      <c r="K118" s="2197"/>
      <c r="L118" s="2198"/>
      <c r="M118" s="2208"/>
      <c r="N118" s="2208"/>
      <c r="O118" s="2208"/>
      <c r="P118" s="5473">
        <v>1</v>
      </c>
      <c r="Q118" s="2209"/>
      <c r="R118" s="2210"/>
      <c r="S118" s="2203" t="str">
        <f>$I118</f>
        <v>1.2.2.1</v>
      </c>
      <c r="T118" s="2211" t="s">
        <v>573</v>
      </c>
      <c r="U118" s="2205"/>
      <c r="V118" s="5537"/>
      <c r="W118" s="5538"/>
      <c r="X118" s="5538"/>
      <c r="Y118" s="5538"/>
      <c r="Z118" s="5538"/>
      <c r="AA118" s="5538"/>
      <c r="AB118" s="5539"/>
      <c r="AC118" s="5540"/>
      <c r="AD118" s="5541"/>
      <c r="AE118" s="5541"/>
      <c r="AF118" s="5541"/>
      <c r="AG118" s="5541"/>
      <c r="AH118" s="5541"/>
      <c r="AI118" s="5541"/>
      <c r="AJ118" s="5537"/>
      <c r="AK118" s="5538"/>
      <c r="AL118" s="5538"/>
      <c r="AM118" s="5538"/>
      <c r="AN118" s="5538"/>
      <c r="AO118" s="5538"/>
      <c r="AP118" s="5539"/>
      <c r="AQ118" s="5537"/>
      <c r="AR118" s="5538"/>
      <c r="AS118" s="5538"/>
      <c r="AT118" s="5538"/>
      <c r="AU118" s="5538"/>
      <c r="AV118" s="5538"/>
      <c r="AW118" s="5539"/>
      <c r="AX118" s="5537"/>
      <c r="AY118" s="5538"/>
      <c r="AZ118" s="5538"/>
      <c r="BA118" s="5538"/>
      <c r="BB118" s="5538"/>
      <c r="BC118" s="5538"/>
      <c r="BD118" s="5539"/>
      <c r="BE118" s="5542"/>
      <c r="BF118" s="2206" t="s">
        <v>574</v>
      </c>
      <c r="BG118" s="2129"/>
      <c r="BH118" s="2207"/>
      <c r="BI118" s="2207" t="str">
        <f t="shared" si="2"/>
        <v>Наименование признака дифференциации</v>
      </c>
      <c r="BJ118" s="2207"/>
      <c r="BK118" s="2207"/>
      <c r="BL118" s="2054">
        <v>0</v>
      </c>
    </row>
    <row r="119" spans="1:64" s="4630" customFormat="1" ht="23.25" customHeight="1">
      <c r="A119" s="2197"/>
      <c r="B119" s="2197"/>
      <c r="C119" s="2197"/>
      <c r="D119" s="2197"/>
      <c r="E119" s="5470"/>
      <c r="F119" s="5470"/>
      <c r="G119" s="5470">
        <v>1</v>
      </c>
      <c r="H119" s="5470"/>
      <c r="I119" s="5472"/>
      <c r="J119" s="5471" t="str">
        <f>I118&amp;".1"</f>
        <v>1.2.2.1.1</v>
      </c>
      <c r="K119" s="2197"/>
      <c r="L119" s="2198" t="s">
        <v>499</v>
      </c>
      <c r="M119" s="2208"/>
      <c r="N119" s="2208"/>
      <c r="O119" s="2208"/>
      <c r="P119" s="5473"/>
      <c r="Q119" s="5473">
        <v>1</v>
      </c>
      <c r="R119" s="2212"/>
      <c r="S119" s="2203" t="str">
        <f>$J119</f>
        <v>1.2.2.1.1</v>
      </c>
      <c r="T119" s="2213" t="s">
        <v>500</v>
      </c>
      <c r="U119" s="2205"/>
      <c r="V119" s="5457"/>
      <c r="W119" s="5458"/>
      <c r="X119" s="5458"/>
      <c r="Y119" s="5458"/>
      <c r="Z119" s="5458"/>
      <c r="AA119" s="5458"/>
      <c r="AB119" s="5459"/>
      <c r="AC119" s="5457" t="s">
        <v>611</v>
      </c>
      <c r="AD119" s="5458"/>
      <c r="AE119" s="5458"/>
      <c r="AF119" s="5458"/>
      <c r="AG119" s="5458"/>
      <c r="AH119" s="5458"/>
      <c r="AI119" s="5458"/>
      <c r="AJ119" s="5457"/>
      <c r="AK119" s="5458"/>
      <c r="AL119" s="5458"/>
      <c r="AM119" s="5458"/>
      <c r="AN119" s="5458"/>
      <c r="AO119" s="5458"/>
      <c r="AP119" s="5459"/>
      <c r="AQ119" s="5457"/>
      <c r="AR119" s="5458"/>
      <c r="AS119" s="5458"/>
      <c r="AT119" s="5458"/>
      <c r="AU119" s="5458"/>
      <c r="AV119" s="5458"/>
      <c r="AW119" s="5459"/>
      <c r="AX119" s="5457"/>
      <c r="AY119" s="5458"/>
      <c r="AZ119" s="5458"/>
      <c r="BA119" s="5458"/>
      <c r="BB119" s="5458"/>
      <c r="BC119" s="5458"/>
      <c r="BD119" s="5459"/>
      <c r="BE119" s="5459"/>
      <c r="BF119" s="2214" t="s">
        <v>575</v>
      </c>
      <c r="BG119" s="2129"/>
      <c r="BH119" s="2207"/>
      <c r="BI119" s="2207" t="str">
        <f t="shared" si="2"/>
        <v>Группа потребителей</v>
      </c>
      <c r="BJ119" s="2207"/>
      <c r="BK119" s="2207"/>
      <c r="BL119" s="2054">
        <v>0</v>
      </c>
    </row>
    <row r="120" spans="1:64" s="4631" customFormat="1" ht="23.25" customHeight="1">
      <c r="A120" s="2197"/>
      <c r="B120" s="2197"/>
      <c r="C120" s="2197"/>
      <c r="D120" s="2197"/>
      <c r="E120" s="5470"/>
      <c r="F120" s="5470"/>
      <c r="G120" s="5470">
        <v>1</v>
      </c>
      <c r="H120" s="5470"/>
      <c r="I120" s="5472"/>
      <c r="J120" s="5472"/>
      <c r="K120" s="5471" t="str">
        <f>J119&amp;".1"</f>
        <v>1.2.2.1.1.1</v>
      </c>
      <c r="L120" s="2198"/>
      <c r="M120" s="2208"/>
      <c r="N120" s="2208"/>
      <c r="O120" s="2208"/>
      <c r="P120" s="5473"/>
      <c r="Q120" s="5473"/>
      <c r="R120" s="2212">
        <v>1</v>
      </c>
      <c r="S120" s="2203" t="str">
        <f>$K120</f>
        <v>1.2.2.1.1.1</v>
      </c>
      <c r="T120" s="2215" t="s">
        <v>569</v>
      </c>
      <c r="U120" s="2205"/>
      <c r="V120" s="2055"/>
      <c r="W120" s="2055"/>
      <c r="X120" s="2056"/>
      <c r="Y120" s="5474"/>
      <c r="Z120" s="5338" t="s">
        <v>66</v>
      </c>
      <c r="AA120" s="5474"/>
      <c r="AB120" s="5338" t="s">
        <v>66</v>
      </c>
      <c r="AC120" s="2055">
        <v>106.1</v>
      </c>
      <c r="AD120" s="2055"/>
      <c r="AE120" s="2056"/>
      <c r="AF120" s="5474">
        <v>45658.61347222222</v>
      </c>
      <c r="AG120" s="5338" t="s">
        <v>66</v>
      </c>
      <c r="AH120" s="5476">
        <v>46022.613564814812</v>
      </c>
      <c r="AI120" s="5338" t="s">
        <v>66</v>
      </c>
      <c r="AJ120" s="2055">
        <v>106.52</v>
      </c>
      <c r="AK120" s="2055"/>
      <c r="AL120" s="2056"/>
      <c r="AM120" s="5474">
        <v>46023.639166666668</v>
      </c>
      <c r="AN120" s="5338" t="s">
        <v>66</v>
      </c>
      <c r="AO120" s="5474">
        <v>46387.639328703706</v>
      </c>
      <c r="AP120" s="5338" t="s">
        <v>66</v>
      </c>
      <c r="AQ120" s="2055">
        <v>109.65</v>
      </c>
      <c r="AR120" s="2055"/>
      <c r="AS120" s="2056"/>
      <c r="AT120" s="5474">
        <v>46388.639479166668</v>
      </c>
      <c r="AU120" s="5338" t="s">
        <v>66</v>
      </c>
      <c r="AV120" s="5474">
        <v>46752.639594907407</v>
      </c>
      <c r="AW120" s="5338" t="s">
        <v>66</v>
      </c>
      <c r="AX120" s="2055">
        <v>112.88</v>
      </c>
      <c r="AY120" s="2055"/>
      <c r="AZ120" s="2056"/>
      <c r="BA120" s="5474">
        <v>46753.639710648145</v>
      </c>
      <c r="BB120" s="5338" t="s">
        <v>66</v>
      </c>
      <c r="BC120" s="5474">
        <v>47118.639814814815</v>
      </c>
      <c r="BD120" s="5338" t="s">
        <v>66</v>
      </c>
      <c r="BE120" s="2216"/>
      <c r="BF120"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20" s="2129" t="e">
        <f ca="1">STRCHECKDATE(V121:BE121)</f>
        <v>#NAME?</v>
      </c>
      <c r="BH120" s="2207"/>
      <c r="BI120" s="2207" t="str">
        <f t="shared" si="2"/>
        <v>без НДС</v>
      </c>
      <c r="BJ120" s="2207"/>
      <c r="BK120" s="2207"/>
      <c r="BL120" s="2054">
        <v>0</v>
      </c>
    </row>
    <row r="121" spans="1:64" s="4632" customFormat="1" ht="14.25" customHeight="1">
      <c r="A121" s="2197"/>
      <c r="B121" s="2197"/>
      <c r="C121" s="2197"/>
      <c r="D121" s="2197"/>
      <c r="E121" s="5470"/>
      <c r="F121" s="5470"/>
      <c r="G121" s="5470">
        <v>1</v>
      </c>
      <c r="H121" s="5470"/>
      <c r="I121" s="5472"/>
      <c r="J121" s="5472"/>
      <c r="K121" s="5471"/>
      <c r="L121" s="2198"/>
      <c r="M121" s="2208"/>
      <c r="N121" s="2208"/>
      <c r="O121" s="2208"/>
      <c r="P121" s="5473"/>
      <c r="Q121" s="5473"/>
      <c r="R121" s="2212"/>
      <c r="S121" s="2217"/>
      <c r="T121" s="2205"/>
      <c r="U121" s="2205"/>
      <c r="V121" s="2057"/>
      <c r="W121" s="2057"/>
      <c r="X121" s="2058" t="str">
        <f>Y120&amp;"-"&amp;AA120</f>
        <v>-</v>
      </c>
      <c r="Y121" s="5475"/>
      <c r="Z121" s="5338"/>
      <c r="AA121" s="5475"/>
      <c r="AB121" s="5338"/>
      <c r="AC121" s="2057"/>
      <c r="AD121" s="2057"/>
      <c r="AE121" s="2058" t="str">
        <f>AF120&amp;"-"&amp;AH120</f>
        <v>45658,6134722222-46022,6135648148</v>
      </c>
      <c r="AF121" s="5475"/>
      <c r="AG121" s="5338"/>
      <c r="AH121" s="5477"/>
      <c r="AI121" s="5338"/>
      <c r="AJ121" s="2057"/>
      <c r="AK121" s="2057"/>
      <c r="AL121" s="2058" t="str">
        <f>AM120&amp;"-"&amp;AO120</f>
        <v>46023,6391666667-46387,6393287037</v>
      </c>
      <c r="AM121" s="5475"/>
      <c r="AN121" s="5338"/>
      <c r="AO121" s="5475"/>
      <c r="AP121" s="5338"/>
      <c r="AQ121" s="2057"/>
      <c r="AR121" s="2057"/>
      <c r="AS121" s="2058" t="str">
        <f>AT120&amp;"-"&amp;AV120</f>
        <v>46388,6394791667-46752,6395949074</v>
      </c>
      <c r="AT121" s="5475"/>
      <c r="AU121" s="5338"/>
      <c r="AV121" s="5475"/>
      <c r="AW121" s="5338"/>
      <c r="AX121" s="2057"/>
      <c r="AY121" s="2057"/>
      <c r="AZ121" s="2058" t="str">
        <f>BA120&amp;"-"&amp;BC120</f>
        <v>46753,6397106481-47118,6398148148</v>
      </c>
      <c r="BA121" s="5475"/>
      <c r="BB121" s="5338"/>
      <c r="BC121" s="5475"/>
      <c r="BD121" s="5338"/>
      <c r="BE121" s="2218"/>
      <c r="BF121" s="5543"/>
      <c r="BG121" s="2129"/>
      <c r="BH121" s="2207"/>
      <c r="BI121" s="2207" t="str">
        <f t="shared" si="2"/>
        <v/>
      </c>
      <c r="BJ121" s="2207"/>
      <c r="BK121" s="2207"/>
      <c r="BL121" s="2054">
        <v>0</v>
      </c>
    </row>
    <row r="122" spans="1:64" s="4633" customFormat="1" ht="21" customHeight="1">
      <c r="A122" s="2197"/>
      <c r="B122" s="2197"/>
      <c r="C122" s="2197"/>
      <c r="D122" s="2197"/>
      <c r="E122" s="5470"/>
      <c r="F122" s="5470"/>
      <c r="G122" s="5470">
        <v>1</v>
      </c>
      <c r="H122" s="5470"/>
      <c r="I122" s="5472"/>
      <c r="J122" s="5471"/>
      <c r="K122" s="2197"/>
      <c r="L122" s="2198"/>
      <c r="M122" s="2208"/>
      <c r="N122" s="2208"/>
      <c r="O122" s="2208"/>
      <c r="P122" s="5473"/>
      <c r="Q122" s="5473"/>
      <c r="R122" s="2210"/>
      <c r="S122" s="2819"/>
      <c r="T122" s="2820" t="s">
        <v>576</v>
      </c>
      <c r="U122" s="2821"/>
      <c r="V122" s="2822"/>
      <c r="W122" s="2823"/>
      <c r="X122" s="2824"/>
      <c r="Y122" s="2825"/>
      <c r="Z122" s="2826"/>
      <c r="AA122" s="2827"/>
      <c r="AB122" s="2828"/>
      <c r="AC122" s="2829"/>
      <c r="AD122" s="2830"/>
      <c r="AE122" s="2831"/>
      <c r="AF122" s="2832"/>
      <c r="AG122" s="2833"/>
      <c r="AH122" s="2834"/>
      <c r="AI122" s="2835"/>
      <c r="AJ122" s="2836"/>
      <c r="AK122" s="2837"/>
      <c r="AL122" s="2838"/>
      <c r="AM122" s="2839"/>
      <c r="AN122" s="2840"/>
      <c r="AO122" s="2841"/>
      <c r="AP122" s="2842"/>
      <c r="AQ122" s="2843"/>
      <c r="AR122" s="2844"/>
      <c r="AS122" s="2845"/>
      <c r="AT122" s="2846"/>
      <c r="AU122" s="2847"/>
      <c r="AV122" s="2848"/>
      <c r="AW122" s="2849"/>
      <c r="AX122" s="2850"/>
      <c r="AY122" s="2851"/>
      <c r="AZ122" s="2852"/>
      <c r="BA122" s="2853"/>
      <c r="BB122" s="2854"/>
      <c r="BC122" s="2855"/>
      <c r="BD122" s="2856"/>
      <c r="BE122" s="2857"/>
      <c r="BF122" s="2206" t="s">
        <v>577</v>
      </c>
      <c r="BG122" s="2129"/>
      <c r="BH122" s="2207"/>
      <c r="BI122" s="2207" t="str">
        <f t="shared" si="2"/>
        <v>Добавить значение признака дифференциации</v>
      </c>
      <c r="BJ122" s="2207"/>
      <c r="BK122" s="2207"/>
      <c r="BL122" s="2054">
        <v>0</v>
      </c>
    </row>
    <row r="123" spans="1:64" s="4634" customFormat="1" ht="23.25" customHeight="1">
      <c r="A123" s="4309"/>
      <c r="B123" s="4309"/>
      <c r="C123" s="4309"/>
      <c r="D123" s="4309"/>
      <c r="E123" s="5470"/>
      <c r="F123" s="5470"/>
      <c r="G123" s="5470"/>
      <c r="H123" s="5470"/>
      <c r="I123" s="5472"/>
      <c r="J123" s="5471" t="str">
        <f>I118&amp;".2"</f>
        <v>1.2.2.1.2</v>
      </c>
      <c r="K123" s="4309"/>
      <c r="L123" s="4310" t="s">
        <v>499</v>
      </c>
      <c r="M123" s="4311"/>
      <c r="N123" s="4311"/>
      <c r="O123" s="4311"/>
      <c r="P123" s="5473"/>
      <c r="Q123" s="5553" t="s">
        <v>104</v>
      </c>
      <c r="R123" s="4312"/>
      <c r="S123" s="4313" t="str">
        <f>$J123</f>
        <v>1.2.2.1.2</v>
      </c>
      <c r="T123" s="4314" t="s">
        <v>500</v>
      </c>
      <c r="U123" s="4315"/>
      <c r="V123" s="5457"/>
      <c r="W123" s="5458"/>
      <c r="X123" s="5458"/>
      <c r="Y123" s="5458"/>
      <c r="Z123" s="5458"/>
      <c r="AA123" s="5458"/>
      <c r="AB123" s="5459"/>
      <c r="AC123" s="5457" t="s">
        <v>612</v>
      </c>
      <c r="AD123" s="5458"/>
      <c r="AE123" s="5458"/>
      <c r="AF123" s="5458"/>
      <c r="AG123" s="5458"/>
      <c r="AH123" s="5458"/>
      <c r="AI123" s="5458"/>
      <c r="AJ123" s="5457"/>
      <c r="AK123" s="5458"/>
      <c r="AL123" s="5458"/>
      <c r="AM123" s="5458"/>
      <c r="AN123" s="5458"/>
      <c r="AO123" s="5458"/>
      <c r="AP123" s="5459"/>
      <c r="AQ123" s="5457"/>
      <c r="AR123" s="5458"/>
      <c r="AS123" s="5458"/>
      <c r="AT123" s="5458"/>
      <c r="AU123" s="5458"/>
      <c r="AV123" s="5458"/>
      <c r="AW123" s="5459"/>
      <c r="AX123" s="5457"/>
      <c r="AY123" s="5458"/>
      <c r="AZ123" s="5458"/>
      <c r="BA123" s="5458"/>
      <c r="BB123" s="5458"/>
      <c r="BC123" s="5458"/>
      <c r="BD123" s="5554"/>
      <c r="BE123" s="5459"/>
      <c r="BF123" s="4316" t="s">
        <v>575</v>
      </c>
      <c r="BG123" s="4317"/>
      <c r="BH123" s="4318"/>
      <c r="BI123" s="4318" t="str">
        <f t="shared" si="2"/>
        <v>Группа потребителей</v>
      </c>
      <c r="BJ123" s="4318"/>
      <c r="BK123" s="4318"/>
      <c r="BL123" s="4319">
        <v>0</v>
      </c>
    </row>
    <row r="124" spans="1:64" s="4635" customFormat="1" ht="23.25" customHeight="1">
      <c r="A124" s="4309"/>
      <c r="B124" s="4309"/>
      <c r="C124" s="4309"/>
      <c r="D124" s="4309"/>
      <c r="E124" s="5470"/>
      <c r="F124" s="5470"/>
      <c r="G124" s="5470"/>
      <c r="H124" s="5470"/>
      <c r="I124" s="5472"/>
      <c r="J124" s="5472" t="str">
        <f>I118&amp;".1"</f>
        <v>1.2.2.1.1</v>
      </c>
      <c r="K124" s="5471" t="str">
        <f>J123&amp;".1"</f>
        <v>1.2.2.1.2.1</v>
      </c>
      <c r="L124" s="4310"/>
      <c r="M124" s="4311"/>
      <c r="N124" s="4311"/>
      <c r="O124" s="4311"/>
      <c r="P124" s="5473"/>
      <c r="Q124" s="5473"/>
      <c r="R124" s="4312">
        <v>1</v>
      </c>
      <c r="S124" s="4313" t="str">
        <f>$K124</f>
        <v>1.2.2.1.2.1</v>
      </c>
      <c r="T124" s="4321" t="s">
        <v>568</v>
      </c>
      <c r="U124" s="4315"/>
      <c r="V124" s="4322"/>
      <c r="W124" s="4322"/>
      <c r="X124" s="4323"/>
      <c r="Y124" s="5474"/>
      <c r="Z124" s="5338" t="s">
        <v>66</v>
      </c>
      <c r="AA124" s="5474"/>
      <c r="AB124" s="5338" t="s">
        <v>66</v>
      </c>
      <c r="AC124" s="4322">
        <v>127.32</v>
      </c>
      <c r="AD124" s="4322"/>
      <c r="AE124" s="4323"/>
      <c r="AF124" s="5474">
        <v>45658.654479166667</v>
      </c>
      <c r="AG124" s="5338" t="s">
        <v>66</v>
      </c>
      <c r="AH124" s="5476">
        <v>46022.65452546296</v>
      </c>
      <c r="AI124" s="5338" t="s">
        <v>66</v>
      </c>
      <c r="AJ124" s="4322">
        <v>127.82</v>
      </c>
      <c r="AK124" s="4322"/>
      <c r="AL124" s="4323"/>
      <c r="AM124" s="5474">
        <v>46023.655092592591</v>
      </c>
      <c r="AN124" s="5338" t="s">
        <v>66</v>
      </c>
      <c r="AO124" s="5474">
        <v>46387.655173611114</v>
      </c>
      <c r="AP124" s="5338" t="s">
        <v>66</v>
      </c>
      <c r="AQ124" s="4322">
        <v>131.58000000000001</v>
      </c>
      <c r="AR124" s="4322"/>
      <c r="AS124" s="4323"/>
      <c r="AT124" s="5474">
        <v>46388.655497685184</v>
      </c>
      <c r="AU124" s="5338" t="s">
        <v>66</v>
      </c>
      <c r="AV124" s="5474">
        <v>46752.65556712963</v>
      </c>
      <c r="AW124" s="5338" t="s">
        <v>66</v>
      </c>
      <c r="AX124" s="4322">
        <v>135.46</v>
      </c>
      <c r="AY124" s="4322"/>
      <c r="AZ124" s="4323"/>
      <c r="BA124" s="5474">
        <v>46753.6559375</v>
      </c>
      <c r="BB124" s="5338" t="s">
        <v>66</v>
      </c>
      <c r="BC124" s="5474">
        <v>47118.656030092592</v>
      </c>
      <c r="BD124" s="5555" t="s">
        <v>66</v>
      </c>
      <c r="BE124" s="4324"/>
      <c r="BF124"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24" s="4317" t="e">
        <f ca="1">STRCHECKDATE(V125:BE125)</f>
        <v>#NAME?</v>
      </c>
      <c r="BH124" s="4318"/>
      <c r="BI124" s="4318" t="str">
        <f t="shared" si="2"/>
        <v>с НДС</v>
      </c>
      <c r="BJ124" s="4318"/>
      <c r="BK124" s="4318"/>
      <c r="BL124" s="4319">
        <v>0</v>
      </c>
    </row>
    <row r="125" spans="1:64" s="4636" customFormat="1" ht="14.25" customHeight="1">
      <c r="A125" s="4309"/>
      <c r="B125" s="4309"/>
      <c r="C125" s="4309"/>
      <c r="D125" s="4309"/>
      <c r="E125" s="5470"/>
      <c r="F125" s="5470"/>
      <c r="G125" s="5470"/>
      <c r="H125" s="5470"/>
      <c r="I125" s="5472"/>
      <c r="J125" s="5472" t="str">
        <f>I118&amp;".1"</f>
        <v>1.2.2.1.1</v>
      </c>
      <c r="K125" s="5471"/>
      <c r="L125" s="4310"/>
      <c r="M125" s="4311"/>
      <c r="N125" s="4311"/>
      <c r="O125" s="4311"/>
      <c r="P125" s="5473"/>
      <c r="Q125" s="5473"/>
      <c r="R125" s="4312"/>
      <c r="S125" s="4326"/>
      <c r="T125" s="4315"/>
      <c r="U125" s="4315"/>
      <c r="V125" s="4327"/>
      <c r="W125" s="4327"/>
      <c r="X125" s="4328" t="str">
        <f>Y124&amp;"-"&amp;AA124</f>
        <v>-</v>
      </c>
      <c r="Y125" s="5475"/>
      <c r="Z125" s="5338"/>
      <c r="AA125" s="5475"/>
      <c r="AB125" s="5338"/>
      <c r="AC125" s="4327"/>
      <c r="AD125" s="4327"/>
      <c r="AE125" s="4328" t="str">
        <f>AF124&amp;"-"&amp;AH124</f>
        <v>45658,6544791667-46022,654525463</v>
      </c>
      <c r="AF125" s="5475"/>
      <c r="AG125" s="5338"/>
      <c r="AH125" s="5477"/>
      <c r="AI125" s="5338"/>
      <c r="AJ125" s="4327"/>
      <c r="AK125" s="4327"/>
      <c r="AL125" s="4328" t="str">
        <f>AM124&amp;"-"&amp;AO124</f>
        <v>46023,6550925926-46387,6551736111</v>
      </c>
      <c r="AM125" s="5475"/>
      <c r="AN125" s="5338"/>
      <c r="AO125" s="5475"/>
      <c r="AP125" s="5338"/>
      <c r="AQ125" s="4327"/>
      <c r="AR125" s="4327"/>
      <c r="AS125" s="4328" t="str">
        <f>AT124&amp;"-"&amp;AV124</f>
        <v>46388,6554976852-46752,6555671296</v>
      </c>
      <c r="AT125" s="5475"/>
      <c r="AU125" s="5338"/>
      <c r="AV125" s="5475"/>
      <c r="AW125" s="5338"/>
      <c r="AX125" s="4327"/>
      <c r="AY125" s="4327"/>
      <c r="AZ125" s="4328" t="str">
        <f>BA124&amp;"-"&amp;BC124</f>
        <v>46753,6559375-47118,6560300926</v>
      </c>
      <c r="BA125" s="5475"/>
      <c r="BB125" s="5338"/>
      <c r="BC125" s="5475"/>
      <c r="BD125" s="5555"/>
      <c r="BE125" s="4329"/>
      <c r="BF125" s="5543"/>
      <c r="BG125" s="4317"/>
      <c r="BH125" s="4318"/>
      <c r="BI125" s="4318" t="str">
        <f t="shared" si="2"/>
        <v/>
      </c>
      <c r="BJ125" s="4318"/>
      <c r="BK125" s="4318"/>
      <c r="BL125" s="4319">
        <v>0</v>
      </c>
    </row>
    <row r="126" spans="1:64" s="4637" customFormat="1" ht="21" customHeight="1">
      <c r="A126" s="4309"/>
      <c r="B126" s="4309"/>
      <c r="C126" s="4309"/>
      <c r="D126" s="4309"/>
      <c r="E126" s="5470"/>
      <c r="F126" s="5470"/>
      <c r="G126" s="5470"/>
      <c r="H126" s="5470"/>
      <c r="I126" s="5472"/>
      <c r="J126" s="5471" t="str">
        <f>I118&amp;".1"</f>
        <v>1.2.2.1.1</v>
      </c>
      <c r="K126" s="4309"/>
      <c r="L126" s="4310"/>
      <c r="M126" s="4311"/>
      <c r="N126" s="4311"/>
      <c r="O126" s="4311"/>
      <c r="P126" s="5473"/>
      <c r="Q126" s="5473"/>
      <c r="R126" s="4331"/>
      <c r="S126" s="4638"/>
      <c r="T126" s="4639" t="s">
        <v>576</v>
      </c>
      <c r="U126" s="4640"/>
      <c r="V126" s="4641"/>
      <c r="W126" s="4642"/>
      <c r="X126" s="4643"/>
      <c r="Y126" s="4644"/>
      <c r="Z126" s="4645"/>
      <c r="AA126" s="4646"/>
      <c r="AB126" s="4647"/>
      <c r="AC126" s="4648"/>
      <c r="AD126" s="4649"/>
      <c r="AE126" s="4650"/>
      <c r="AF126" s="4651"/>
      <c r="AG126" s="4652"/>
      <c r="AH126" s="4653"/>
      <c r="AI126" s="4654"/>
      <c r="AJ126" s="4655"/>
      <c r="AK126" s="4656"/>
      <c r="AL126" s="4657"/>
      <c r="AM126" s="4658"/>
      <c r="AN126" s="4659"/>
      <c r="AO126" s="4660"/>
      <c r="AP126" s="4661"/>
      <c r="AQ126" s="4662"/>
      <c r="AR126" s="4663"/>
      <c r="AS126" s="4664"/>
      <c r="AT126" s="4665"/>
      <c r="AU126" s="4666"/>
      <c r="AV126" s="4667"/>
      <c r="AW126" s="4668"/>
      <c r="AX126" s="4669"/>
      <c r="AY126" s="4670"/>
      <c r="AZ126" s="4671"/>
      <c r="BA126" s="4672"/>
      <c r="BB126" s="4673"/>
      <c r="BC126" s="4674"/>
      <c r="BD126" s="4675"/>
      <c r="BE126" s="4676"/>
      <c r="BF126" s="4371" t="s">
        <v>577</v>
      </c>
      <c r="BG126" s="4317"/>
      <c r="BH126" s="4318"/>
      <c r="BI126" s="4318" t="str">
        <f t="shared" si="2"/>
        <v>Добавить значение признака дифференциации</v>
      </c>
      <c r="BJ126" s="4318"/>
      <c r="BK126" s="4318"/>
      <c r="BL126" s="4319">
        <v>0</v>
      </c>
    </row>
    <row r="127" spans="1:64" s="4677" customFormat="1" ht="21" customHeight="1">
      <c r="A127" s="2197"/>
      <c r="B127" s="2197"/>
      <c r="C127" s="2197"/>
      <c r="D127" s="2197"/>
      <c r="E127" s="5470"/>
      <c r="F127" s="5470"/>
      <c r="G127" s="5470">
        <v>1</v>
      </c>
      <c r="H127" s="5470"/>
      <c r="I127" s="5471"/>
      <c r="J127" s="2197"/>
      <c r="K127" s="2197"/>
      <c r="L127" s="2198"/>
      <c r="M127" s="2208"/>
      <c r="N127" s="2208"/>
      <c r="O127" s="2208"/>
      <c r="P127" s="5473"/>
      <c r="Q127" s="2209"/>
      <c r="R127" s="2210"/>
      <c r="S127" s="2858"/>
      <c r="T127" s="2859" t="s">
        <v>505</v>
      </c>
      <c r="U127" s="2860"/>
      <c r="V127" s="2861"/>
      <c r="W127" s="2862"/>
      <c r="X127" s="2863"/>
      <c r="Y127" s="2864"/>
      <c r="Z127" s="2865"/>
      <c r="AA127" s="2866"/>
      <c r="AB127" s="2867"/>
      <c r="AC127" s="2868"/>
      <c r="AD127" s="2869"/>
      <c r="AE127" s="2870"/>
      <c r="AF127" s="2871"/>
      <c r="AG127" s="2872"/>
      <c r="AH127" s="2873"/>
      <c r="AI127" s="2874"/>
      <c r="AJ127" s="2875"/>
      <c r="AK127" s="2876"/>
      <c r="AL127" s="2877"/>
      <c r="AM127" s="2878"/>
      <c r="AN127" s="2879"/>
      <c r="AO127" s="2880"/>
      <c r="AP127" s="2881"/>
      <c r="AQ127" s="2882"/>
      <c r="AR127" s="2883"/>
      <c r="AS127" s="2884"/>
      <c r="AT127" s="2885"/>
      <c r="AU127" s="2886"/>
      <c r="AV127" s="2887"/>
      <c r="AW127" s="2888"/>
      <c r="AX127" s="2889"/>
      <c r="AY127" s="2890"/>
      <c r="AZ127" s="2891"/>
      <c r="BA127" s="2892"/>
      <c r="BB127" s="2893"/>
      <c r="BC127" s="2894"/>
      <c r="BD127" s="2895"/>
      <c r="BE127" s="2896"/>
      <c r="BF127" s="2897"/>
      <c r="BG127" s="2129"/>
      <c r="BH127" s="2207"/>
      <c r="BI127" s="2207" t="str">
        <f t="shared" si="2"/>
        <v>Добавить группу потребителей</v>
      </c>
      <c r="BJ127" s="2207"/>
      <c r="BK127" s="2207"/>
      <c r="BL127" s="2054">
        <v>0</v>
      </c>
    </row>
    <row r="128" spans="1:64" s="4678" customFormat="1" ht="21" customHeight="1">
      <c r="A128" s="2197"/>
      <c r="B128" s="2197"/>
      <c r="C128" s="2197"/>
      <c r="D128" s="2197"/>
      <c r="E128" s="5470"/>
      <c r="F128" s="5470"/>
      <c r="G128" s="5470">
        <v>1</v>
      </c>
      <c r="H128" s="5469"/>
      <c r="I128" s="2197"/>
      <c r="J128" s="2197"/>
      <c r="K128" s="2197"/>
      <c r="L128" s="2198"/>
      <c r="M128" s="2199"/>
      <c r="N128" s="2199"/>
      <c r="O128" s="2123"/>
      <c r="P128" s="2298"/>
      <c r="Q128" s="2299"/>
      <c r="R128" s="2300"/>
      <c r="S128" s="2898"/>
      <c r="T128" s="2899" t="s">
        <v>578</v>
      </c>
      <c r="U128" s="2900"/>
      <c r="V128" s="2901"/>
      <c r="W128" s="2902"/>
      <c r="X128" s="2903"/>
      <c r="Y128" s="2904"/>
      <c r="Z128" s="2905"/>
      <c r="AA128" s="2906"/>
      <c r="AB128" s="2907"/>
      <c r="AC128" s="2908"/>
      <c r="AD128" s="2909"/>
      <c r="AE128" s="2910"/>
      <c r="AF128" s="2911"/>
      <c r="AG128" s="2912"/>
      <c r="AH128" s="2913"/>
      <c r="AI128" s="2914"/>
      <c r="AJ128" s="2915"/>
      <c r="AK128" s="2916"/>
      <c r="AL128" s="2917"/>
      <c r="AM128" s="2918"/>
      <c r="AN128" s="2919"/>
      <c r="AO128" s="2920"/>
      <c r="AP128" s="2921"/>
      <c r="AQ128" s="2922"/>
      <c r="AR128" s="2923"/>
      <c r="AS128" s="2924"/>
      <c r="AT128" s="2925"/>
      <c r="AU128" s="2926"/>
      <c r="AV128" s="2927"/>
      <c r="AW128" s="2928"/>
      <c r="AX128" s="2929"/>
      <c r="AY128" s="2930"/>
      <c r="AZ128" s="2931"/>
      <c r="BA128" s="2932"/>
      <c r="BB128" s="2933"/>
      <c r="BC128" s="2934"/>
      <c r="BD128" s="2935"/>
      <c r="BE128" s="2936"/>
      <c r="BF128" s="2937"/>
      <c r="BG128" s="2129"/>
      <c r="BH128" s="2207"/>
      <c r="BI128" s="2207" t="str">
        <f t="shared" si="2"/>
        <v>Добавить наименование признака дифференциации</v>
      </c>
      <c r="BJ128" s="2207"/>
      <c r="BK128" s="2207"/>
      <c r="BL128" s="2054">
        <v>0</v>
      </c>
    </row>
    <row r="129" spans="1:64" s="4679" customFormat="1" ht="14.25" customHeight="1">
      <c r="A129" s="2938"/>
      <c r="B129" s="2938"/>
      <c r="C129" s="2938"/>
      <c r="D129" s="2938"/>
      <c r="E129" s="5470"/>
      <c r="F129" s="5469">
        <v>1</v>
      </c>
      <c r="G129" s="2938"/>
      <c r="H129" s="2938"/>
      <c r="I129" s="2938"/>
      <c r="J129" s="2938"/>
      <c r="K129" s="2938"/>
      <c r="L129" s="2939"/>
      <c r="M129" s="2940"/>
      <c r="N129" s="2940"/>
      <c r="O129" s="2129"/>
      <c r="P129" s="2941"/>
      <c r="Q129" s="2942"/>
      <c r="R129" s="2941"/>
      <c r="S129" s="2943"/>
      <c r="T129" s="2944" t="s">
        <v>312</v>
      </c>
      <c r="U129" s="2122"/>
      <c r="V129" s="2122"/>
      <c r="W129" s="2122"/>
      <c r="X129" s="2122"/>
      <c r="Y129" s="2122"/>
      <c r="Z129" s="2122"/>
      <c r="AA129" s="2122"/>
      <c r="AB129" s="2122"/>
      <c r="AC129" s="2122"/>
      <c r="AD129" s="2122"/>
      <c r="AE129" s="2122"/>
      <c r="AF129" s="2122"/>
      <c r="AG129" s="2122"/>
      <c r="AH129" s="2122"/>
      <c r="AI129" s="2122"/>
      <c r="AJ129" s="2122"/>
      <c r="AK129" s="2122"/>
      <c r="AL129" s="2122"/>
      <c r="AM129" s="2122"/>
      <c r="AN129" s="2122"/>
      <c r="AO129" s="2122"/>
      <c r="AP129" s="2122"/>
      <c r="AQ129" s="2122"/>
      <c r="AR129" s="2122"/>
      <c r="AS129" s="2122"/>
      <c r="AT129" s="2122"/>
      <c r="AU129" s="2122"/>
      <c r="AV129" s="2122"/>
      <c r="AW129" s="2122"/>
      <c r="AX129" s="2122"/>
      <c r="AY129" s="2122"/>
      <c r="AZ129" s="2122"/>
      <c r="BA129" s="2122"/>
      <c r="BB129" s="2122"/>
      <c r="BC129" s="2122"/>
      <c r="BD129" s="2122"/>
      <c r="BE129" s="2122"/>
      <c r="BF129" s="2122"/>
      <c r="BG129" s="2129"/>
      <c r="BH129" s="2207"/>
      <c r="BI129" s="2207" t="str">
        <f t="shared" si="2"/>
        <v>Добавить централизованную систему для дифференциации</v>
      </c>
      <c r="BJ129" s="2207"/>
      <c r="BK129" s="2207"/>
      <c r="BL129" s="2129">
        <v>0</v>
      </c>
    </row>
    <row r="130" spans="1:64" s="4680" customFormat="1" ht="23.25" customHeight="1">
      <c r="A130" s="2197"/>
      <c r="B130" s="2197" t="s">
        <v>321</v>
      </c>
      <c r="C130" s="2197"/>
      <c r="D130" s="2197"/>
      <c r="E130" s="5470"/>
      <c r="F130" s="5469" t="s">
        <v>90</v>
      </c>
      <c r="G130" s="2197"/>
      <c r="H130" s="2197"/>
      <c r="I130" s="2197"/>
      <c r="J130" s="2197"/>
      <c r="K130" s="2197"/>
      <c r="L130" s="2198"/>
      <c r="M130" s="2199"/>
      <c r="N130" s="2199"/>
      <c r="O130" s="2199"/>
      <c r="P130" s="2698"/>
      <c r="Q130" s="2201"/>
      <c r="R130" s="2202"/>
      <c r="S130" s="2203" t="str">
        <f>INDEX(PT_DIFFERENTIATION_NUM_TER,MATCH(B130,PT_DIFFERENTIATION_TER_ID,0))</f>
        <v>1.3</v>
      </c>
      <c r="T130" s="2699" t="s">
        <v>490</v>
      </c>
      <c r="U130" s="2205"/>
      <c r="V130" s="5463"/>
      <c r="W130" s="5464"/>
      <c r="X130" s="5464"/>
      <c r="Y130" s="5464"/>
      <c r="Z130" s="5464"/>
      <c r="AA130" s="5464"/>
      <c r="AB130" s="5465"/>
      <c r="AC130" s="5463" t="str">
        <f>INDEX(PT_DIFFERENTIATION_TER,MATCH(B130,PT_DIFFERENTIATION_TER_ID,0))</f>
        <v>Территория 3</v>
      </c>
      <c r="AD130" s="5464"/>
      <c r="AE130" s="5464"/>
      <c r="AF130" s="5464"/>
      <c r="AG130" s="5464"/>
      <c r="AH130" s="5464"/>
      <c r="AI130" s="5464"/>
      <c r="AJ130" s="5463"/>
      <c r="AK130" s="5464"/>
      <c r="AL130" s="5464"/>
      <c r="AM130" s="5464"/>
      <c r="AN130" s="5464"/>
      <c r="AO130" s="5464"/>
      <c r="AP130" s="5465"/>
      <c r="AQ130" s="5463"/>
      <c r="AR130" s="5464"/>
      <c r="AS130" s="5464"/>
      <c r="AT130" s="5464"/>
      <c r="AU130" s="5464"/>
      <c r="AV130" s="5464"/>
      <c r="AW130" s="5465"/>
      <c r="AX130" s="5463"/>
      <c r="AY130" s="5464"/>
      <c r="AZ130" s="5464"/>
      <c r="BA130" s="5464"/>
      <c r="BB130" s="5464"/>
      <c r="BC130" s="5464"/>
      <c r="BD130" s="5465"/>
      <c r="BE130" s="5465"/>
      <c r="BF130" s="2206" t="s">
        <v>491</v>
      </c>
      <c r="BG130" s="2129"/>
      <c r="BH130" s="2207"/>
      <c r="BI130" s="2207" t="str">
        <f t="shared" si="2"/>
        <v>Территория действия тарифа</v>
      </c>
      <c r="BJ130" s="2207"/>
      <c r="BK130" s="2207"/>
      <c r="BL130" s="2054">
        <v>0</v>
      </c>
    </row>
    <row r="131" spans="1:64" s="4681" customFormat="1" ht="23.25" customHeight="1">
      <c r="A131" s="2197"/>
      <c r="B131" s="2197"/>
      <c r="C131" s="2197" t="s">
        <v>322</v>
      </c>
      <c r="D131" s="2197"/>
      <c r="E131" s="5470"/>
      <c r="F131" s="5470" t="s">
        <v>103</v>
      </c>
      <c r="G131" s="5469">
        <v>1</v>
      </c>
      <c r="H131" s="2197"/>
      <c r="I131" s="2197"/>
      <c r="J131" s="2197"/>
      <c r="K131" s="2197"/>
      <c r="L131" s="2198"/>
      <c r="M131" s="2199"/>
      <c r="N131" s="2199"/>
      <c r="O131" s="2199"/>
      <c r="P131" s="2200"/>
      <c r="Q131" s="2201"/>
      <c r="R131" s="2202"/>
      <c r="S131" s="2203" t="str">
        <f>INDEX(PT_DIFFERENTIATION_NUM_CS,MATCH(C131,PT_DIFFERENTIATION_CS_ID,0))</f>
        <v>1.3.1</v>
      </c>
      <c r="T131" s="2204" t="s">
        <v>606</v>
      </c>
      <c r="U131" s="2205"/>
      <c r="V131" s="5463"/>
      <c r="W131" s="5464"/>
      <c r="X131" s="5464"/>
      <c r="Y131" s="5464"/>
      <c r="Z131" s="5464"/>
      <c r="AA131" s="5464"/>
      <c r="AB131" s="5465"/>
      <c r="AC131" s="5463" t="str">
        <f>INDEX(PT_DIFFERENTIATION_CS,MATCH(C131,PT_DIFFERENTIATION_CS_ID,0))</f>
        <v>Кавалеровский МО</v>
      </c>
      <c r="AD131" s="5464"/>
      <c r="AE131" s="5464"/>
      <c r="AF131" s="5464"/>
      <c r="AG131" s="5464"/>
      <c r="AH131" s="5464"/>
      <c r="AI131" s="5464"/>
      <c r="AJ131" s="5463"/>
      <c r="AK131" s="5464"/>
      <c r="AL131" s="5464"/>
      <c r="AM131" s="5464"/>
      <c r="AN131" s="5464"/>
      <c r="AO131" s="5464"/>
      <c r="AP131" s="5465"/>
      <c r="AQ131" s="5463"/>
      <c r="AR131" s="5464"/>
      <c r="AS131" s="5464"/>
      <c r="AT131" s="5464"/>
      <c r="AU131" s="5464"/>
      <c r="AV131" s="5464"/>
      <c r="AW131" s="5465"/>
      <c r="AX131" s="5463"/>
      <c r="AY131" s="5464"/>
      <c r="AZ131" s="5464"/>
      <c r="BA131" s="5464"/>
      <c r="BB131" s="5464"/>
      <c r="BC131" s="5464"/>
      <c r="BD131" s="5465"/>
      <c r="BE131" s="5465"/>
      <c r="BF131" s="2206" t="s">
        <v>607</v>
      </c>
      <c r="BG131" s="2129"/>
      <c r="BH131" s="2207"/>
      <c r="BI131" s="2207" t="str">
        <f t="shared" si="2"/>
        <v>Наименование централизованной системы водоотведения</v>
      </c>
      <c r="BJ131" s="2207"/>
      <c r="BK131" s="2207"/>
      <c r="BL131" s="2054">
        <v>0</v>
      </c>
    </row>
    <row r="132" spans="1:64" s="4682" customFormat="1" ht="23.25" customHeight="1">
      <c r="A132" s="2197"/>
      <c r="B132" s="2197"/>
      <c r="C132" s="2197"/>
      <c r="D132" s="2197"/>
      <c r="E132" s="5470"/>
      <c r="F132" s="5470" t="s">
        <v>103</v>
      </c>
      <c r="G132" s="5470"/>
      <c r="H132" s="5470"/>
      <c r="I132" s="5471" t="str">
        <f>S131&amp;".1"</f>
        <v>1.3.1.1</v>
      </c>
      <c r="J132" s="2197"/>
      <c r="K132" s="2197"/>
      <c r="L132" s="2198"/>
      <c r="M132" s="2208"/>
      <c r="N132" s="2208"/>
      <c r="O132" s="2208"/>
      <c r="P132" s="5473">
        <v>1</v>
      </c>
      <c r="Q132" s="2209"/>
      <c r="R132" s="2210"/>
      <c r="S132" s="2203" t="str">
        <f>$I132</f>
        <v>1.3.1.1</v>
      </c>
      <c r="T132" s="2211" t="s">
        <v>573</v>
      </c>
      <c r="U132" s="2205"/>
      <c r="V132" s="5537"/>
      <c r="W132" s="5538"/>
      <c r="X132" s="5538"/>
      <c r="Y132" s="5538"/>
      <c r="Z132" s="5538"/>
      <c r="AA132" s="5538"/>
      <c r="AB132" s="5539"/>
      <c r="AC132" s="5540"/>
      <c r="AD132" s="5541"/>
      <c r="AE132" s="5541"/>
      <c r="AF132" s="5541"/>
      <c r="AG132" s="5541"/>
      <c r="AH132" s="5541"/>
      <c r="AI132" s="5541"/>
      <c r="AJ132" s="5537"/>
      <c r="AK132" s="5538"/>
      <c r="AL132" s="5538"/>
      <c r="AM132" s="5538"/>
      <c r="AN132" s="5538"/>
      <c r="AO132" s="5538"/>
      <c r="AP132" s="5539"/>
      <c r="AQ132" s="5537"/>
      <c r="AR132" s="5538"/>
      <c r="AS132" s="5538"/>
      <c r="AT132" s="5538"/>
      <c r="AU132" s="5538"/>
      <c r="AV132" s="5538"/>
      <c r="AW132" s="5539"/>
      <c r="AX132" s="5537"/>
      <c r="AY132" s="5538"/>
      <c r="AZ132" s="5538"/>
      <c r="BA132" s="5538"/>
      <c r="BB132" s="5538"/>
      <c r="BC132" s="5538"/>
      <c r="BD132" s="5539"/>
      <c r="BE132" s="5542"/>
      <c r="BF132" s="2206" t="s">
        <v>574</v>
      </c>
      <c r="BG132" s="2129"/>
      <c r="BH132" s="2207"/>
      <c r="BI132" s="2207" t="str">
        <f t="shared" si="2"/>
        <v>Наименование признака дифференциации</v>
      </c>
      <c r="BJ132" s="2207"/>
      <c r="BK132" s="2207"/>
      <c r="BL132" s="2054">
        <v>0</v>
      </c>
    </row>
    <row r="133" spans="1:64" s="4683" customFormat="1" ht="23.25" customHeight="1">
      <c r="A133" s="2197"/>
      <c r="B133" s="2197"/>
      <c r="C133" s="2197"/>
      <c r="D133" s="2197"/>
      <c r="E133" s="5470"/>
      <c r="F133" s="5470" t="s">
        <v>103</v>
      </c>
      <c r="G133" s="5470"/>
      <c r="H133" s="5470"/>
      <c r="I133" s="5472"/>
      <c r="J133" s="5471" t="str">
        <f>I132&amp;".1"</f>
        <v>1.3.1.1.1</v>
      </c>
      <c r="K133" s="2197"/>
      <c r="L133" s="2198" t="s">
        <v>499</v>
      </c>
      <c r="M133" s="2208"/>
      <c r="N133" s="2208"/>
      <c r="O133" s="2208"/>
      <c r="P133" s="5473"/>
      <c r="Q133" s="5473">
        <v>1</v>
      </c>
      <c r="R133" s="2212"/>
      <c r="S133" s="2203" t="str">
        <f>$J133</f>
        <v>1.3.1.1.1</v>
      </c>
      <c r="T133" s="2213" t="s">
        <v>500</v>
      </c>
      <c r="U133" s="2205"/>
      <c r="V133" s="5457"/>
      <c r="W133" s="5458"/>
      <c r="X133" s="5458"/>
      <c r="Y133" s="5458"/>
      <c r="Z133" s="5458"/>
      <c r="AA133" s="5458"/>
      <c r="AB133" s="5459"/>
      <c r="AC133" s="5457" t="s">
        <v>611</v>
      </c>
      <c r="AD133" s="5458"/>
      <c r="AE133" s="5458"/>
      <c r="AF133" s="5458"/>
      <c r="AG133" s="5458"/>
      <c r="AH133" s="5458"/>
      <c r="AI133" s="5458"/>
      <c r="AJ133" s="5457"/>
      <c r="AK133" s="5458"/>
      <c r="AL133" s="5458"/>
      <c r="AM133" s="5458"/>
      <c r="AN133" s="5458"/>
      <c r="AO133" s="5458"/>
      <c r="AP133" s="5459"/>
      <c r="AQ133" s="5457"/>
      <c r="AR133" s="5458"/>
      <c r="AS133" s="5458"/>
      <c r="AT133" s="5458"/>
      <c r="AU133" s="5458"/>
      <c r="AV133" s="5458"/>
      <c r="AW133" s="5459"/>
      <c r="AX133" s="5457"/>
      <c r="AY133" s="5458"/>
      <c r="AZ133" s="5458"/>
      <c r="BA133" s="5458"/>
      <c r="BB133" s="5458"/>
      <c r="BC133" s="5458"/>
      <c r="BD133" s="5459"/>
      <c r="BE133" s="5459"/>
      <c r="BF133" s="2214" t="s">
        <v>575</v>
      </c>
      <c r="BG133" s="2129"/>
      <c r="BH133" s="2207"/>
      <c r="BI133" s="2207" t="str">
        <f t="shared" si="2"/>
        <v>Группа потребителей</v>
      </c>
      <c r="BJ133" s="2207"/>
      <c r="BK133" s="2207"/>
      <c r="BL133" s="2054">
        <v>0</v>
      </c>
    </row>
    <row r="134" spans="1:64" s="4684" customFormat="1" ht="23.25" customHeight="1">
      <c r="A134" s="2197"/>
      <c r="B134" s="2197"/>
      <c r="C134" s="2197"/>
      <c r="D134" s="2197"/>
      <c r="E134" s="5470"/>
      <c r="F134" s="5470" t="s">
        <v>103</v>
      </c>
      <c r="G134" s="5470"/>
      <c r="H134" s="5470"/>
      <c r="I134" s="5472"/>
      <c r="J134" s="5472"/>
      <c r="K134" s="5471" t="str">
        <f>J133&amp;".1"</f>
        <v>1.3.1.1.1.1</v>
      </c>
      <c r="L134" s="2198"/>
      <c r="M134" s="2208"/>
      <c r="N134" s="2208"/>
      <c r="O134" s="2208"/>
      <c r="P134" s="5473"/>
      <c r="Q134" s="5473"/>
      <c r="R134" s="2212">
        <v>1</v>
      </c>
      <c r="S134" s="2203" t="str">
        <f>$K134</f>
        <v>1.3.1.1.1.1</v>
      </c>
      <c r="T134" s="2215" t="s">
        <v>569</v>
      </c>
      <c r="U134" s="2205"/>
      <c r="V134" s="2055"/>
      <c r="W134" s="2055"/>
      <c r="X134" s="2056"/>
      <c r="Y134" s="5474"/>
      <c r="Z134" s="5338" t="s">
        <v>66</v>
      </c>
      <c r="AA134" s="5474"/>
      <c r="AB134" s="5338" t="s">
        <v>66</v>
      </c>
      <c r="AC134" s="2055">
        <v>58.06</v>
      </c>
      <c r="AD134" s="2055"/>
      <c r="AE134" s="2056"/>
      <c r="AF134" s="5474">
        <v>45658.613703703704</v>
      </c>
      <c r="AG134" s="5338" t="s">
        <v>66</v>
      </c>
      <c r="AH134" s="5476">
        <v>46022.613796296297</v>
      </c>
      <c r="AI134" s="5338" t="s">
        <v>66</v>
      </c>
      <c r="AJ134" s="2055">
        <v>55.33</v>
      </c>
      <c r="AK134" s="2055"/>
      <c r="AL134" s="2056"/>
      <c r="AM134" s="5474">
        <v>46023.63821759259</v>
      </c>
      <c r="AN134" s="5338" t="s">
        <v>66</v>
      </c>
      <c r="AO134" s="5474">
        <v>46387.638310185182</v>
      </c>
      <c r="AP134" s="5338" t="s">
        <v>66</v>
      </c>
      <c r="AQ134" s="2055">
        <v>56.95</v>
      </c>
      <c r="AR134" s="2055"/>
      <c r="AS134" s="2056"/>
      <c r="AT134" s="5474">
        <v>46388.638449074075</v>
      </c>
      <c r="AU134" s="5338" t="s">
        <v>66</v>
      </c>
      <c r="AV134" s="5474">
        <v>46752.638564814813</v>
      </c>
      <c r="AW134" s="5338" t="s">
        <v>66</v>
      </c>
      <c r="AX134" s="2055">
        <v>58.62</v>
      </c>
      <c r="AY134" s="2055"/>
      <c r="AZ134" s="2056"/>
      <c r="BA134" s="5474">
        <v>46753.638726851852</v>
      </c>
      <c r="BB134" s="5338" t="s">
        <v>66</v>
      </c>
      <c r="BC134" s="5474">
        <v>47118.638877314814</v>
      </c>
      <c r="BD134" s="5338" t="s">
        <v>66</v>
      </c>
      <c r="BE134" s="2216"/>
      <c r="BF134"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34" s="2129" t="e">
        <f ca="1">STRCHECKDATE(V135:BE135)</f>
        <v>#NAME?</v>
      </c>
      <c r="BH134" s="2207"/>
      <c r="BI134" s="2207" t="str">
        <f t="shared" si="2"/>
        <v>без НДС</v>
      </c>
      <c r="BJ134" s="2207"/>
      <c r="BK134" s="2207"/>
      <c r="BL134" s="2054">
        <v>0</v>
      </c>
    </row>
    <row r="135" spans="1:64" s="4685" customFormat="1" ht="14.25" customHeight="1">
      <c r="A135" s="2197"/>
      <c r="B135" s="2197"/>
      <c r="C135" s="2197"/>
      <c r="D135" s="2197"/>
      <c r="E135" s="5470"/>
      <c r="F135" s="5470" t="s">
        <v>103</v>
      </c>
      <c r="G135" s="5470"/>
      <c r="H135" s="5470"/>
      <c r="I135" s="5472"/>
      <c r="J135" s="5472"/>
      <c r="K135" s="5471"/>
      <c r="L135" s="2198"/>
      <c r="M135" s="2208"/>
      <c r="N135" s="2208"/>
      <c r="O135" s="2208"/>
      <c r="P135" s="5473"/>
      <c r="Q135" s="5473"/>
      <c r="R135" s="2212"/>
      <c r="S135" s="2217"/>
      <c r="T135" s="2205"/>
      <c r="U135" s="2205"/>
      <c r="V135" s="2057"/>
      <c r="W135" s="2057"/>
      <c r="X135" s="2058" t="str">
        <f>Y134&amp;"-"&amp;AA134</f>
        <v>-</v>
      </c>
      <c r="Y135" s="5475"/>
      <c r="Z135" s="5338"/>
      <c r="AA135" s="5475"/>
      <c r="AB135" s="5338"/>
      <c r="AC135" s="2057"/>
      <c r="AD135" s="2057"/>
      <c r="AE135" s="2058" t="str">
        <f>AF134&amp;"-"&amp;AH134</f>
        <v>45658,6137037037-46022,6137962962</v>
      </c>
      <c r="AF135" s="5475"/>
      <c r="AG135" s="5338"/>
      <c r="AH135" s="5477"/>
      <c r="AI135" s="5338"/>
      <c r="AJ135" s="2057"/>
      <c r="AK135" s="2057"/>
      <c r="AL135" s="2058" t="str">
        <f>AM134&amp;"-"&amp;AO134</f>
        <v>46023,6382175926-46387,6383101852</v>
      </c>
      <c r="AM135" s="5475"/>
      <c r="AN135" s="5338"/>
      <c r="AO135" s="5475"/>
      <c r="AP135" s="5338"/>
      <c r="AQ135" s="2057"/>
      <c r="AR135" s="2057"/>
      <c r="AS135" s="2058" t="str">
        <f>AT134&amp;"-"&amp;AV134</f>
        <v>46388,6384490741-46752,6385648148</v>
      </c>
      <c r="AT135" s="5475"/>
      <c r="AU135" s="5338"/>
      <c r="AV135" s="5475"/>
      <c r="AW135" s="5338"/>
      <c r="AX135" s="2057"/>
      <c r="AY135" s="2057"/>
      <c r="AZ135" s="2058" t="str">
        <f>BA134&amp;"-"&amp;BC134</f>
        <v>46753,6387268519-47118,6388773148</v>
      </c>
      <c r="BA135" s="5475"/>
      <c r="BB135" s="5338"/>
      <c r="BC135" s="5475"/>
      <c r="BD135" s="5338"/>
      <c r="BE135" s="2218"/>
      <c r="BF135" s="5543"/>
      <c r="BG135" s="2129"/>
      <c r="BH135" s="2207"/>
      <c r="BI135" s="2207" t="str">
        <f t="shared" si="2"/>
        <v/>
      </c>
      <c r="BJ135" s="2207"/>
      <c r="BK135" s="2207"/>
      <c r="BL135" s="2054">
        <v>0</v>
      </c>
    </row>
    <row r="136" spans="1:64" s="4686" customFormat="1" ht="21" customHeight="1">
      <c r="A136" s="2197"/>
      <c r="B136" s="2197"/>
      <c r="C136" s="2197"/>
      <c r="D136" s="2197"/>
      <c r="E136" s="5470"/>
      <c r="F136" s="5470" t="s">
        <v>103</v>
      </c>
      <c r="G136" s="5470"/>
      <c r="H136" s="5470"/>
      <c r="I136" s="5472"/>
      <c r="J136" s="5471"/>
      <c r="K136" s="2197"/>
      <c r="L136" s="2198"/>
      <c r="M136" s="2208"/>
      <c r="N136" s="2208"/>
      <c r="O136" s="2208"/>
      <c r="P136" s="5473"/>
      <c r="Q136" s="5473"/>
      <c r="R136" s="2210"/>
      <c r="S136" s="2945"/>
      <c r="T136" s="2946" t="s">
        <v>576</v>
      </c>
      <c r="U136" s="2947"/>
      <c r="V136" s="2948"/>
      <c r="W136" s="2949"/>
      <c r="X136" s="2950"/>
      <c r="Y136" s="2951"/>
      <c r="Z136" s="2952"/>
      <c r="AA136" s="2953"/>
      <c r="AB136" s="2954"/>
      <c r="AC136" s="2955"/>
      <c r="AD136" s="2956"/>
      <c r="AE136" s="2957"/>
      <c r="AF136" s="2958"/>
      <c r="AG136" s="2959"/>
      <c r="AH136" s="2960"/>
      <c r="AI136" s="2961"/>
      <c r="AJ136" s="2962"/>
      <c r="AK136" s="2963"/>
      <c r="AL136" s="2964"/>
      <c r="AM136" s="2965"/>
      <c r="AN136" s="2966"/>
      <c r="AO136" s="2967"/>
      <c r="AP136" s="2968"/>
      <c r="AQ136" s="2969"/>
      <c r="AR136" s="2970"/>
      <c r="AS136" s="2971"/>
      <c r="AT136" s="2972"/>
      <c r="AU136" s="2973"/>
      <c r="AV136" s="2974"/>
      <c r="AW136" s="2975"/>
      <c r="AX136" s="2976"/>
      <c r="AY136" s="2977"/>
      <c r="AZ136" s="2978"/>
      <c r="BA136" s="2979"/>
      <c r="BB136" s="2980"/>
      <c r="BC136" s="2981"/>
      <c r="BD136" s="2982"/>
      <c r="BE136" s="2983"/>
      <c r="BF136" s="2206" t="s">
        <v>577</v>
      </c>
      <c r="BG136" s="2129"/>
      <c r="BH136" s="2207"/>
      <c r="BI136" s="2207" t="str">
        <f t="shared" si="2"/>
        <v>Добавить значение признака дифференциации</v>
      </c>
      <c r="BJ136" s="2207"/>
      <c r="BK136" s="2207"/>
      <c r="BL136" s="2054">
        <v>0</v>
      </c>
    </row>
    <row r="137" spans="1:64" s="4687" customFormat="1" ht="23.25" customHeight="1">
      <c r="A137" s="4309"/>
      <c r="B137" s="4309"/>
      <c r="C137" s="4309"/>
      <c r="D137" s="4309"/>
      <c r="E137" s="5470"/>
      <c r="F137" s="5470"/>
      <c r="G137" s="5470"/>
      <c r="H137" s="5470"/>
      <c r="I137" s="5472"/>
      <c r="J137" s="5471" t="str">
        <f>I132&amp;".2"</f>
        <v>1.3.1.1.2</v>
      </c>
      <c r="K137" s="4309"/>
      <c r="L137" s="4310" t="s">
        <v>499</v>
      </c>
      <c r="M137" s="4311"/>
      <c r="N137" s="4311"/>
      <c r="O137" s="4311"/>
      <c r="P137" s="5473"/>
      <c r="Q137" s="5553" t="s">
        <v>104</v>
      </c>
      <c r="R137" s="4312"/>
      <c r="S137" s="4313" t="str">
        <f>$J137</f>
        <v>1.3.1.1.2</v>
      </c>
      <c r="T137" s="4314" t="s">
        <v>500</v>
      </c>
      <c r="U137" s="4315"/>
      <c r="V137" s="5457"/>
      <c r="W137" s="5458"/>
      <c r="X137" s="5458"/>
      <c r="Y137" s="5458"/>
      <c r="Z137" s="5458"/>
      <c r="AA137" s="5458"/>
      <c r="AB137" s="5459"/>
      <c r="AC137" s="5457" t="s">
        <v>612</v>
      </c>
      <c r="AD137" s="5458"/>
      <c r="AE137" s="5458"/>
      <c r="AF137" s="5458"/>
      <c r="AG137" s="5458"/>
      <c r="AH137" s="5458"/>
      <c r="AI137" s="5458"/>
      <c r="AJ137" s="5457"/>
      <c r="AK137" s="5458"/>
      <c r="AL137" s="5458"/>
      <c r="AM137" s="5458"/>
      <c r="AN137" s="5458"/>
      <c r="AO137" s="5458"/>
      <c r="AP137" s="5459"/>
      <c r="AQ137" s="5457"/>
      <c r="AR137" s="5458"/>
      <c r="AS137" s="5458"/>
      <c r="AT137" s="5458"/>
      <c r="AU137" s="5458"/>
      <c r="AV137" s="5458"/>
      <c r="AW137" s="5459"/>
      <c r="AX137" s="5457"/>
      <c r="AY137" s="5458"/>
      <c r="AZ137" s="5458"/>
      <c r="BA137" s="5458"/>
      <c r="BB137" s="5458"/>
      <c r="BC137" s="5458"/>
      <c r="BD137" s="5554"/>
      <c r="BE137" s="5459"/>
      <c r="BF137" s="4316" t="s">
        <v>575</v>
      </c>
      <c r="BG137" s="4317"/>
      <c r="BH137" s="4318"/>
      <c r="BI137" s="4318" t="str">
        <f t="shared" si="2"/>
        <v>Группа потребителей</v>
      </c>
      <c r="BJ137" s="4318"/>
      <c r="BK137" s="4318"/>
      <c r="BL137" s="4319">
        <v>0</v>
      </c>
    </row>
    <row r="138" spans="1:64" s="4688" customFormat="1" ht="23.25" customHeight="1">
      <c r="A138" s="4309"/>
      <c r="B138" s="4309"/>
      <c r="C138" s="4309"/>
      <c r="D138" s="4309"/>
      <c r="E138" s="5470"/>
      <c r="F138" s="5470"/>
      <c r="G138" s="5470"/>
      <c r="H138" s="5470"/>
      <c r="I138" s="5472"/>
      <c r="J138" s="5472" t="str">
        <f>I132&amp;".1"</f>
        <v>1.3.1.1.1</v>
      </c>
      <c r="K138" s="5471" t="str">
        <f>J137&amp;".1"</f>
        <v>1.3.1.1.2.1</v>
      </c>
      <c r="L138" s="4310"/>
      <c r="M138" s="4311"/>
      <c r="N138" s="4311"/>
      <c r="O138" s="4311"/>
      <c r="P138" s="5473"/>
      <c r="Q138" s="5473"/>
      <c r="R138" s="4312">
        <v>1</v>
      </c>
      <c r="S138" s="4313" t="str">
        <f>$K138</f>
        <v>1.3.1.1.2.1</v>
      </c>
      <c r="T138" s="4321" t="s">
        <v>568</v>
      </c>
      <c r="U138" s="4315"/>
      <c r="V138" s="4322"/>
      <c r="W138" s="4322"/>
      <c r="X138" s="4323"/>
      <c r="Y138" s="5474"/>
      <c r="Z138" s="5338" t="s">
        <v>66</v>
      </c>
      <c r="AA138" s="5474"/>
      <c r="AB138" s="5338" t="s">
        <v>66</v>
      </c>
      <c r="AC138" s="4322">
        <v>69.67</v>
      </c>
      <c r="AD138" s="4322"/>
      <c r="AE138" s="4323"/>
      <c r="AF138" s="5474">
        <v>45658.656504629631</v>
      </c>
      <c r="AG138" s="5338" t="s">
        <v>66</v>
      </c>
      <c r="AH138" s="5476">
        <v>46022.656550925924</v>
      </c>
      <c r="AI138" s="5338" t="s">
        <v>66</v>
      </c>
      <c r="AJ138" s="4322">
        <v>66.400000000000006</v>
      </c>
      <c r="AK138" s="4322"/>
      <c r="AL138" s="4323"/>
      <c r="AM138" s="5474">
        <v>46023.65693287037</v>
      </c>
      <c r="AN138" s="5338" t="s">
        <v>66</v>
      </c>
      <c r="AO138" s="5474">
        <v>46387.657025462962</v>
      </c>
      <c r="AP138" s="5338" t="s">
        <v>66</v>
      </c>
      <c r="AQ138" s="4322">
        <v>68.34</v>
      </c>
      <c r="AR138" s="4322"/>
      <c r="AS138" s="4323"/>
      <c r="AT138" s="5474">
        <v>46388.657835648148</v>
      </c>
      <c r="AU138" s="5338" t="s">
        <v>66</v>
      </c>
      <c r="AV138" s="5474">
        <v>46752.657986111109</v>
      </c>
      <c r="AW138" s="5338" t="s">
        <v>66</v>
      </c>
      <c r="AX138" s="4322">
        <v>70.34</v>
      </c>
      <c r="AY138" s="4322"/>
      <c r="AZ138" s="4323"/>
      <c r="BA138" s="5474">
        <v>46753.658206018517</v>
      </c>
      <c r="BB138" s="5338" t="s">
        <v>66</v>
      </c>
      <c r="BC138" s="5474">
        <v>47118.658333333333</v>
      </c>
      <c r="BD138" s="5555" t="s">
        <v>66</v>
      </c>
      <c r="BE138" s="4324"/>
      <c r="BF138"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38" s="4317" t="e">
        <f ca="1">STRCHECKDATE(V139:BE139)</f>
        <v>#NAME?</v>
      </c>
      <c r="BH138" s="4318"/>
      <c r="BI138" s="4318" t="str">
        <f t="shared" si="2"/>
        <v>с НДС</v>
      </c>
      <c r="BJ138" s="4318"/>
      <c r="BK138" s="4318"/>
      <c r="BL138" s="4319">
        <v>0</v>
      </c>
    </row>
    <row r="139" spans="1:64" s="4689" customFormat="1" ht="14.25" customHeight="1">
      <c r="A139" s="4309"/>
      <c r="B139" s="4309"/>
      <c r="C139" s="4309"/>
      <c r="D139" s="4309"/>
      <c r="E139" s="5470"/>
      <c r="F139" s="5470"/>
      <c r="G139" s="5470"/>
      <c r="H139" s="5470"/>
      <c r="I139" s="5472"/>
      <c r="J139" s="5472" t="str">
        <f>I132&amp;".1"</f>
        <v>1.3.1.1.1</v>
      </c>
      <c r="K139" s="5471"/>
      <c r="L139" s="4310"/>
      <c r="M139" s="4311"/>
      <c r="N139" s="4311"/>
      <c r="O139" s="4311"/>
      <c r="P139" s="5473"/>
      <c r="Q139" s="5473"/>
      <c r="R139" s="4312"/>
      <c r="S139" s="4326"/>
      <c r="T139" s="4315"/>
      <c r="U139" s="4315"/>
      <c r="V139" s="4327"/>
      <c r="W139" s="4327"/>
      <c r="X139" s="4328" t="str">
        <f>Y138&amp;"-"&amp;AA138</f>
        <v>-</v>
      </c>
      <c r="Y139" s="5475"/>
      <c r="Z139" s="5338"/>
      <c r="AA139" s="5475"/>
      <c r="AB139" s="5338"/>
      <c r="AC139" s="4327"/>
      <c r="AD139" s="4327"/>
      <c r="AE139" s="4328" t="str">
        <f>AF138&amp;"-"&amp;AH138</f>
        <v>45658,6565046296-46022,6565509259</v>
      </c>
      <c r="AF139" s="5475"/>
      <c r="AG139" s="5338"/>
      <c r="AH139" s="5477"/>
      <c r="AI139" s="5338"/>
      <c r="AJ139" s="4327"/>
      <c r="AK139" s="4327"/>
      <c r="AL139" s="4328" t="str">
        <f>AM138&amp;"-"&amp;AO138</f>
        <v>46023,6569328704-46387,657025463</v>
      </c>
      <c r="AM139" s="5475"/>
      <c r="AN139" s="5338"/>
      <c r="AO139" s="5475"/>
      <c r="AP139" s="5338"/>
      <c r="AQ139" s="4327"/>
      <c r="AR139" s="4327"/>
      <c r="AS139" s="4328" t="str">
        <f>AT138&amp;"-"&amp;AV138</f>
        <v>46388,6578356481-46752,6579861111</v>
      </c>
      <c r="AT139" s="5475"/>
      <c r="AU139" s="5338"/>
      <c r="AV139" s="5475"/>
      <c r="AW139" s="5338"/>
      <c r="AX139" s="4327"/>
      <c r="AY139" s="4327"/>
      <c r="AZ139" s="4328" t="str">
        <f>BA138&amp;"-"&amp;BC138</f>
        <v>46753,6582060185-47118,6583333333</v>
      </c>
      <c r="BA139" s="5475"/>
      <c r="BB139" s="5338"/>
      <c r="BC139" s="5475"/>
      <c r="BD139" s="5555"/>
      <c r="BE139" s="4329"/>
      <c r="BF139" s="5543"/>
      <c r="BG139" s="4317"/>
      <c r="BH139" s="4318"/>
      <c r="BI139" s="4318" t="str">
        <f t="shared" si="2"/>
        <v/>
      </c>
      <c r="BJ139" s="4318"/>
      <c r="BK139" s="4318"/>
      <c r="BL139" s="4319">
        <v>0</v>
      </c>
    </row>
    <row r="140" spans="1:64" s="4690" customFormat="1" ht="21" customHeight="1">
      <c r="A140" s="4309"/>
      <c r="B140" s="4309"/>
      <c r="C140" s="4309"/>
      <c r="D140" s="4309"/>
      <c r="E140" s="5470"/>
      <c r="F140" s="5470"/>
      <c r="G140" s="5470"/>
      <c r="H140" s="5470"/>
      <c r="I140" s="5472"/>
      <c r="J140" s="5471" t="str">
        <f>I132&amp;".1"</f>
        <v>1.3.1.1.1</v>
      </c>
      <c r="K140" s="4309"/>
      <c r="L140" s="4310"/>
      <c r="M140" s="4311"/>
      <c r="N140" s="4311"/>
      <c r="O140" s="4311"/>
      <c r="P140" s="5473"/>
      <c r="Q140" s="5473"/>
      <c r="R140" s="4331"/>
      <c r="S140" s="4691"/>
      <c r="T140" s="4692" t="s">
        <v>576</v>
      </c>
      <c r="U140" s="4693"/>
      <c r="V140" s="4694"/>
      <c r="W140" s="4695"/>
      <c r="X140" s="4696"/>
      <c r="Y140" s="4697"/>
      <c r="Z140" s="4698"/>
      <c r="AA140" s="4699"/>
      <c r="AB140" s="4700"/>
      <c r="AC140" s="4701"/>
      <c r="AD140" s="4702"/>
      <c r="AE140" s="4703"/>
      <c r="AF140" s="4704"/>
      <c r="AG140" s="4705"/>
      <c r="AH140" s="4706"/>
      <c r="AI140" s="4707"/>
      <c r="AJ140" s="4708"/>
      <c r="AK140" s="4709"/>
      <c r="AL140" s="4710"/>
      <c r="AM140" s="4711"/>
      <c r="AN140" s="4712"/>
      <c r="AO140" s="4713"/>
      <c r="AP140" s="4714"/>
      <c r="AQ140" s="4715"/>
      <c r="AR140" s="4716"/>
      <c r="AS140" s="4717"/>
      <c r="AT140" s="4718"/>
      <c r="AU140" s="4719"/>
      <c r="AV140" s="4720"/>
      <c r="AW140" s="4721"/>
      <c r="AX140" s="4722"/>
      <c r="AY140" s="4723"/>
      <c r="AZ140" s="4724"/>
      <c r="BA140" s="4725"/>
      <c r="BB140" s="4726"/>
      <c r="BC140" s="4727"/>
      <c r="BD140" s="4728"/>
      <c r="BE140" s="4729"/>
      <c r="BF140" s="4371" t="s">
        <v>577</v>
      </c>
      <c r="BG140" s="4317"/>
      <c r="BH140" s="4318"/>
      <c r="BI140" s="4318" t="str">
        <f t="shared" si="2"/>
        <v>Добавить значение признака дифференциации</v>
      </c>
      <c r="BJ140" s="4318"/>
      <c r="BK140" s="4318"/>
      <c r="BL140" s="4319">
        <v>0</v>
      </c>
    </row>
    <row r="141" spans="1:64" s="4730" customFormat="1" ht="21" customHeight="1">
      <c r="A141" s="2197"/>
      <c r="B141" s="2197"/>
      <c r="C141" s="2197"/>
      <c r="D141" s="2197"/>
      <c r="E141" s="5470"/>
      <c r="F141" s="5470" t="s">
        <v>103</v>
      </c>
      <c r="G141" s="5470"/>
      <c r="H141" s="5470"/>
      <c r="I141" s="5471"/>
      <c r="J141" s="2197"/>
      <c r="K141" s="2197"/>
      <c r="L141" s="2198"/>
      <c r="M141" s="2208"/>
      <c r="N141" s="2208"/>
      <c r="O141" s="2208"/>
      <c r="P141" s="5473"/>
      <c r="Q141" s="2209"/>
      <c r="R141" s="2210"/>
      <c r="S141" s="2984"/>
      <c r="T141" s="2985" t="s">
        <v>505</v>
      </c>
      <c r="U141" s="2986"/>
      <c r="V141" s="2987"/>
      <c r="W141" s="2988"/>
      <c r="X141" s="2989"/>
      <c r="Y141" s="2990"/>
      <c r="Z141" s="2991"/>
      <c r="AA141" s="2992"/>
      <c r="AB141" s="2993"/>
      <c r="AC141" s="2994"/>
      <c r="AD141" s="2995"/>
      <c r="AE141" s="2996"/>
      <c r="AF141" s="2997"/>
      <c r="AG141" s="2998"/>
      <c r="AH141" s="2999"/>
      <c r="AI141" s="3000"/>
      <c r="AJ141" s="3001"/>
      <c r="AK141" s="3002"/>
      <c r="AL141" s="3003"/>
      <c r="AM141" s="3004"/>
      <c r="AN141" s="3005"/>
      <c r="AO141" s="3006"/>
      <c r="AP141" s="3007"/>
      <c r="AQ141" s="3008"/>
      <c r="AR141" s="3009"/>
      <c r="AS141" s="3010"/>
      <c r="AT141" s="3011"/>
      <c r="AU141" s="3012"/>
      <c r="AV141" s="3013"/>
      <c r="AW141" s="3014"/>
      <c r="AX141" s="3015"/>
      <c r="AY141" s="3016"/>
      <c r="AZ141" s="3017"/>
      <c r="BA141" s="3018"/>
      <c r="BB141" s="3019"/>
      <c r="BC141" s="3020"/>
      <c r="BD141" s="3021"/>
      <c r="BE141" s="3022"/>
      <c r="BF141" s="3023"/>
      <c r="BG141" s="2129"/>
      <c r="BH141" s="2207"/>
      <c r="BI141" s="2207" t="str">
        <f t="shared" si="2"/>
        <v>Добавить группу потребителей</v>
      </c>
      <c r="BJ141" s="2207"/>
      <c r="BK141" s="2207"/>
      <c r="BL141" s="2054">
        <v>0</v>
      </c>
    </row>
    <row r="142" spans="1:64" s="4731" customFormat="1" ht="21" customHeight="1">
      <c r="A142" s="2197"/>
      <c r="B142" s="2197"/>
      <c r="C142" s="2197"/>
      <c r="D142" s="2197"/>
      <c r="E142" s="5470"/>
      <c r="F142" s="5470" t="s">
        <v>103</v>
      </c>
      <c r="G142" s="5470"/>
      <c r="H142" s="5469"/>
      <c r="I142" s="2197"/>
      <c r="J142" s="2197"/>
      <c r="K142" s="2197"/>
      <c r="L142" s="2198"/>
      <c r="M142" s="2199"/>
      <c r="N142" s="2199"/>
      <c r="O142" s="2123"/>
      <c r="P142" s="2298"/>
      <c r="Q142" s="2299"/>
      <c r="R142" s="2300"/>
      <c r="S142" s="3024"/>
      <c r="T142" s="3025" t="s">
        <v>578</v>
      </c>
      <c r="U142" s="3026"/>
      <c r="V142" s="3027"/>
      <c r="W142" s="3028"/>
      <c r="X142" s="3029"/>
      <c r="Y142" s="3030"/>
      <c r="Z142" s="3031"/>
      <c r="AA142" s="3032"/>
      <c r="AB142" s="3033"/>
      <c r="AC142" s="3034"/>
      <c r="AD142" s="3035"/>
      <c r="AE142" s="3036"/>
      <c r="AF142" s="3037"/>
      <c r="AG142" s="3038"/>
      <c r="AH142" s="3039"/>
      <c r="AI142" s="3040"/>
      <c r="AJ142" s="3041"/>
      <c r="AK142" s="3042"/>
      <c r="AL142" s="3043"/>
      <c r="AM142" s="3044"/>
      <c r="AN142" s="3045"/>
      <c r="AO142" s="3046"/>
      <c r="AP142" s="3047"/>
      <c r="AQ142" s="3048"/>
      <c r="AR142" s="3049"/>
      <c r="AS142" s="3050"/>
      <c r="AT142" s="3051"/>
      <c r="AU142" s="3052"/>
      <c r="AV142" s="3053"/>
      <c r="AW142" s="3054"/>
      <c r="AX142" s="3055"/>
      <c r="AY142" s="3056"/>
      <c r="AZ142" s="3057"/>
      <c r="BA142" s="3058"/>
      <c r="BB142" s="3059"/>
      <c r="BC142" s="3060"/>
      <c r="BD142" s="3061"/>
      <c r="BE142" s="3062"/>
      <c r="BF142" s="3063"/>
      <c r="BG142" s="2129"/>
      <c r="BH142" s="2207"/>
      <c r="BI142" s="2207" t="str">
        <f t="shared" si="2"/>
        <v>Добавить наименование признака дифференциации</v>
      </c>
      <c r="BJ142" s="2207"/>
      <c r="BK142" s="2207"/>
      <c r="BL142" s="2054">
        <v>0</v>
      </c>
    </row>
    <row r="143" spans="1:64" s="4732" customFormat="1" ht="14.25" customHeight="1">
      <c r="A143" s="2938"/>
      <c r="B143" s="2938"/>
      <c r="C143" s="2938"/>
      <c r="D143" s="2938"/>
      <c r="E143" s="5470"/>
      <c r="F143" s="5469" t="s">
        <v>103</v>
      </c>
      <c r="G143" s="2938"/>
      <c r="H143" s="2938"/>
      <c r="I143" s="2938"/>
      <c r="J143" s="2938"/>
      <c r="K143" s="2938"/>
      <c r="L143" s="2939"/>
      <c r="M143" s="2940"/>
      <c r="N143" s="2940"/>
      <c r="O143" s="2129"/>
      <c r="P143" s="2941"/>
      <c r="Q143" s="2942"/>
      <c r="R143" s="2941"/>
      <c r="S143" s="2943"/>
      <c r="T143" s="2944" t="s">
        <v>312</v>
      </c>
      <c r="U143" s="2122"/>
      <c r="V143" s="2122"/>
      <c r="W143" s="2122"/>
      <c r="X143" s="2122"/>
      <c r="Y143" s="2122"/>
      <c r="Z143" s="2122"/>
      <c r="AA143" s="2122"/>
      <c r="AB143" s="2122"/>
      <c r="AC143" s="2122"/>
      <c r="AD143" s="2122"/>
      <c r="AE143" s="2122"/>
      <c r="AF143" s="2122"/>
      <c r="AG143" s="2122"/>
      <c r="AH143" s="2122"/>
      <c r="AI143" s="2122"/>
      <c r="AJ143" s="2122"/>
      <c r="AK143" s="2122"/>
      <c r="AL143" s="2122"/>
      <c r="AM143" s="2122"/>
      <c r="AN143" s="2122"/>
      <c r="AO143" s="2122"/>
      <c r="AP143" s="2122"/>
      <c r="AQ143" s="2122"/>
      <c r="AR143" s="2122"/>
      <c r="AS143" s="2122"/>
      <c r="AT143" s="2122"/>
      <c r="AU143" s="2122"/>
      <c r="AV143" s="2122"/>
      <c r="AW143" s="2122"/>
      <c r="AX143" s="2122"/>
      <c r="AY143" s="2122"/>
      <c r="AZ143" s="2122"/>
      <c r="BA143" s="2122"/>
      <c r="BB143" s="2122"/>
      <c r="BC143" s="2122"/>
      <c r="BD143" s="2122"/>
      <c r="BE143" s="2122"/>
      <c r="BF143" s="2122"/>
      <c r="BG143" s="2129"/>
      <c r="BH143" s="2207"/>
      <c r="BI143" s="2207" t="str">
        <f t="shared" si="2"/>
        <v>Добавить централизованную систему для дифференциации</v>
      </c>
      <c r="BJ143" s="2207"/>
      <c r="BK143" s="2207"/>
      <c r="BL143" s="2129">
        <v>0</v>
      </c>
    </row>
    <row r="144" spans="1:64" s="4733" customFormat="1" ht="23.25" customHeight="1">
      <c r="A144" s="2197"/>
      <c r="B144" s="2197" t="s">
        <v>325</v>
      </c>
      <c r="C144" s="2197"/>
      <c r="D144" s="2197"/>
      <c r="E144" s="5470"/>
      <c r="F144" s="5469" t="s">
        <v>91</v>
      </c>
      <c r="G144" s="2197"/>
      <c r="H144" s="2197"/>
      <c r="I144" s="2197"/>
      <c r="J144" s="2197"/>
      <c r="K144" s="2197"/>
      <c r="L144" s="2198"/>
      <c r="M144" s="2199"/>
      <c r="N144" s="2199"/>
      <c r="O144" s="2199"/>
      <c r="P144" s="2698"/>
      <c r="Q144" s="2201"/>
      <c r="R144" s="2202"/>
      <c r="S144" s="2203" t="str">
        <f>INDEX(PT_DIFFERENTIATION_NUM_TER,MATCH(B144,PT_DIFFERENTIATION_TER_ID,0))</f>
        <v>1.4</v>
      </c>
      <c r="T144" s="2699" t="s">
        <v>490</v>
      </c>
      <c r="U144" s="2205"/>
      <c r="V144" s="5463"/>
      <c r="W144" s="5464"/>
      <c r="X144" s="5464"/>
      <c r="Y144" s="5464"/>
      <c r="Z144" s="5464"/>
      <c r="AA144" s="5464"/>
      <c r="AB144" s="5465"/>
      <c r="AC144" s="5463" t="str">
        <f>INDEX(PT_DIFFERENTIATION_TER,MATCH(B144,PT_DIFFERENTIATION_TER_ID,0))</f>
        <v>Территория 4</v>
      </c>
      <c r="AD144" s="5464"/>
      <c r="AE144" s="5464"/>
      <c r="AF144" s="5464"/>
      <c r="AG144" s="5464"/>
      <c r="AH144" s="5464"/>
      <c r="AI144" s="5464"/>
      <c r="AJ144" s="5463"/>
      <c r="AK144" s="5464"/>
      <c r="AL144" s="5464"/>
      <c r="AM144" s="5464"/>
      <c r="AN144" s="5464"/>
      <c r="AO144" s="5464"/>
      <c r="AP144" s="5465"/>
      <c r="AQ144" s="5463"/>
      <c r="AR144" s="5464"/>
      <c r="AS144" s="5464"/>
      <c r="AT144" s="5464"/>
      <c r="AU144" s="5464"/>
      <c r="AV144" s="5464"/>
      <c r="AW144" s="5465"/>
      <c r="AX144" s="5463"/>
      <c r="AY144" s="5464"/>
      <c r="AZ144" s="5464"/>
      <c r="BA144" s="5464"/>
      <c r="BB144" s="5464"/>
      <c r="BC144" s="5464"/>
      <c r="BD144" s="5465"/>
      <c r="BE144" s="5465"/>
      <c r="BF144" s="2206" t="s">
        <v>491</v>
      </c>
      <c r="BG144" s="2129"/>
      <c r="BH144" s="2207"/>
      <c r="BI144" s="2207" t="str">
        <f t="shared" si="2"/>
        <v>Территория действия тарифа</v>
      </c>
      <c r="BJ144" s="2207"/>
      <c r="BK144" s="2207"/>
      <c r="BL144" s="2054">
        <v>0</v>
      </c>
    </row>
    <row r="145" spans="1:64" s="4734" customFormat="1" ht="23.25" customHeight="1">
      <c r="A145" s="2197"/>
      <c r="B145" s="2197"/>
      <c r="C145" s="2197" t="s">
        <v>326</v>
      </c>
      <c r="D145" s="2197"/>
      <c r="E145" s="5470"/>
      <c r="F145" s="5470" t="s">
        <v>90</v>
      </c>
      <c r="G145" s="5469">
        <v>1</v>
      </c>
      <c r="H145" s="2197"/>
      <c r="I145" s="2197"/>
      <c r="J145" s="2197"/>
      <c r="K145" s="2197"/>
      <c r="L145" s="2198"/>
      <c r="M145" s="2199"/>
      <c r="N145" s="2199"/>
      <c r="O145" s="2199"/>
      <c r="P145" s="2200"/>
      <c r="Q145" s="2201"/>
      <c r="R145" s="2202"/>
      <c r="S145" s="2203" t="str">
        <f>INDEX(PT_DIFFERENTIATION_NUM_CS,MATCH(C145,PT_DIFFERENTIATION_CS_ID,0))</f>
        <v>1.4.1</v>
      </c>
      <c r="T145" s="2204" t="s">
        <v>606</v>
      </c>
      <c r="U145" s="2205"/>
      <c r="V145" s="5463"/>
      <c r="W145" s="5464"/>
      <c r="X145" s="5464"/>
      <c r="Y145" s="5464"/>
      <c r="Z145" s="5464"/>
      <c r="AA145" s="5464"/>
      <c r="AB145" s="5465"/>
      <c r="AC145" s="5463" t="str">
        <f>INDEX(PT_DIFFERENTIATION_CS,MATCH(C145,PT_DIFFERENTIATION_CS_ID,0))</f>
        <v>Дальнегорский ГО</v>
      </c>
      <c r="AD145" s="5464"/>
      <c r="AE145" s="5464"/>
      <c r="AF145" s="5464"/>
      <c r="AG145" s="5464"/>
      <c r="AH145" s="5464"/>
      <c r="AI145" s="5464"/>
      <c r="AJ145" s="5463"/>
      <c r="AK145" s="5464"/>
      <c r="AL145" s="5464"/>
      <c r="AM145" s="5464"/>
      <c r="AN145" s="5464"/>
      <c r="AO145" s="5464"/>
      <c r="AP145" s="5465"/>
      <c r="AQ145" s="5463"/>
      <c r="AR145" s="5464"/>
      <c r="AS145" s="5464"/>
      <c r="AT145" s="5464"/>
      <c r="AU145" s="5464"/>
      <c r="AV145" s="5464"/>
      <c r="AW145" s="5465"/>
      <c r="AX145" s="5463"/>
      <c r="AY145" s="5464"/>
      <c r="AZ145" s="5464"/>
      <c r="BA145" s="5464"/>
      <c r="BB145" s="5464"/>
      <c r="BC145" s="5464"/>
      <c r="BD145" s="5465"/>
      <c r="BE145" s="5465"/>
      <c r="BF145" s="2206" t="s">
        <v>607</v>
      </c>
      <c r="BG145" s="2129"/>
      <c r="BH145" s="2207"/>
      <c r="BI145" s="2207" t="str">
        <f t="shared" si="2"/>
        <v>Наименование централизованной системы водоотведения</v>
      </c>
      <c r="BJ145" s="2207"/>
      <c r="BK145" s="2207"/>
      <c r="BL145" s="2054">
        <v>0</v>
      </c>
    </row>
    <row r="146" spans="1:64" s="4735" customFormat="1" ht="23.25" customHeight="1">
      <c r="A146" s="2197"/>
      <c r="B146" s="2197"/>
      <c r="C146" s="2197"/>
      <c r="D146" s="2197"/>
      <c r="E146" s="5470"/>
      <c r="F146" s="5470" t="s">
        <v>90</v>
      </c>
      <c r="G146" s="5470"/>
      <c r="H146" s="5470"/>
      <c r="I146" s="5471" t="str">
        <f>S145&amp;".1"</f>
        <v>1.4.1.1</v>
      </c>
      <c r="J146" s="2197"/>
      <c r="K146" s="2197"/>
      <c r="L146" s="2198"/>
      <c r="M146" s="2208"/>
      <c r="N146" s="2208"/>
      <c r="O146" s="2208"/>
      <c r="P146" s="5473">
        <v>1</v>
      </c>
      <c r="Q146" s="2209"/>
      <c r="R146" s="2210"/>
      <c r="S146" s="2203" t="str">
        <f>$I146</f>
        <v>1.4.1.1</v>
      </c>
      <c r="T146" s="2211" t="s">
        <v>573</v>
      </c>
      <c r="U146" s="2205"/>
      <c r="V146" s="5537"/>
      <c r="W146" s="5538"/>
      <c r="X146" s="5538"/>
      <c r="Y146" s="5538"/>
      <c r="Z146" s="5538"/>
      <c r="AA146" s="5538"/>
      <c r="AB146" s="5539"/>
      <c r="AC146" s="5540"/>
      <c r="AD146" s="5541"/>
      <c r="AE146" s="5541"/>
      <c r="AF146" s="5541"/>
      <c r="AG146" s="5541"/>
      <c r="AH146" s="5541"/>
      <c r="AI146" s="5541"/>
      <c r="AJ146" s="5537"/>
      <c r="AK146" s="5538"/>
      <c r="AL146" s="5538"/>
      <c r="AM146" s="5538"/>
      <c r="AN146" s="5538"/>
      <c r="AO146" s="5538"/>
      <c r="AP146" s="5539"/>
      <c r="AQ146" s="5537"/>
      <c r="AR146" s="5538"/>
      <c r="AS146" s="5538"/>
      <c r="AT146" s="5538"/>
      <c r="AU146" s="5538"/>
      <c r="AV146" s="5538"/>
      <c r="AW146" s="5539"/>
      <c r="AX146" s="5537"/>
      <c r="AY146" s="5538"/>
      <c r="AZ146" s="5538"/>
      <c r="BA146" s="5538"/>
      <c r="BB146" s="5538"/>
      <c r="BC146" s="5538"/>
      <c r="BD146" s="5539"/>
      <c r="BE146" s="5542"/>
      <c r="BF146" s="2206" t="s">
        <v>574</v>
      </c>
      <c r="BG146" s="2129"/>
      <c r="BH146" s="2207"/>
      <c r="BI146" s="2207" t="str">
        <f t="shared" si="2"/>
        <v>Наименование признака дифференциации</v>
      </c>
      <c r="BJ146" s="2207"/>
      <c r="BK146" s="2207"/>
      <c r="BL146" s="2054">
        <v>0</v>
      </c>
    </row>
    <row r="147" spans="1:64" s="4736" customFormat="1" ht="23.25" customHeight="1">
      <c r="A147" s="2197"/>
      <c r="B147" s="2197"/>
      <c r="C147" s="2197"/>
      <c r="D147" s="2197"/>
      <c r="E147" s="5470"/>
      <c r="F147" s="5470" t="s">
        <v>90</v>
      </c>
      <c r="G147" s="5470"/>
      <c r="H147" s="5470"/>
      <c r="I147" s="5472"/>
      <c r="J147" s="5471" t="str">
        <f>I146&amp;".1"</f>
        <v>1.4.1.1.1</v>
      </c>
      <c r="K147" s="2197"/>
      <c r="L147" s="2198" t="s">
        <v>499</v>
      </c>
      <c r="M147" s="2208"/>
      <c r="N147" s="2208"/>
      <c r="O147" s="2208"/>
      <c r="P147" s="5473"/>
      <c r="Q147" s="5473">
        <v>1</v>
      </c>
      <c r="R147" s="2212"/>
      <c r="S147" s="2203" t="str">
        <f>$J147</f>
        <v>1.4.1.1.1</v>
      </c>
      <c r="T147" s="2213" t="s">
        <v>500</v>
      </c>
      <c r="U147" s="2205"/>
      <c r="V147" s="5457"/>
      <c r="W147" s="5458"/>
      <c r="X147" s="5458"/>
      <c r="Y147" s="5458"/>
      <c r="Z147" s="5458"/>
      <c r="AA147" s="5458"/>
      <c r="AB147" s="5459"/>
      <c r="AC147" s="5457" t="s">
        <v>611</v>
      </c>
      <c r="AD147" s="5458"/>
      <c r="AE147" s="5458"/>
      <c r="AF147" s="5458"/>
      <c r="AG147" s="5458"/>
      <c r="AH147" s="5458"/>
      <c r="AI147" s="5458"/>
      <c r="AJ147" s="5457"/>
      <c r="AK147" s="5458"/>
      <c r="AL147" s="5458"/>
      <c r="AM147" s="5458"/>
      <c r="AN147" s="5458"/>
      <c r="AO147" s="5458"/>
      <c r="AP147" s="5459"/>
      <c r="AQ147" s="5457"/>
      <c r="AR147" s="5458"/>
      <c r="AS147" s="5458"/>
      <c r="AT147" s="5458"/>
      <c r="AU147" s="5458"/>
      <c r="AV147" s="5458"/>
      <c r="AW147" s="5459"/>
      <c r="AX147" s="5457"/>
      <c r="AY147" s="5458"/>
      <c r="AZ147" s="5458"/>
      <c r="BA147" s="5458"/>
      <c r="BB147" s="5458"/>
      <c r="BC147" s="5458"/>
      <c r="BD147" s="5459"/>
      <c r="BE147" s="5459"/>
      <c r="BF147" s="2214" t="s">
        <v>575</v>
      </c>
      <c r="BG147" s="2129"/>
      <c r="BH147" s="2207"/>
      <c r="BI147" s="2207" t="str">
        <f t="shared" si="2"/>
        <v>Группа потребителей</v>
      </c>
      <c r="BJ147" s="2207"/>
      <c r="BK147" s="2207"/>
      <c r="BL147" s="2054">
        <v>0</v>
      </c>
    </row>
    <row r="148" spans="1:64" s="4737" customFormat="1" ht="23.25" customHeight="1">
      <c r="A148" s="2197"/>
      <c r="B148" s="2197"/>
      <c r="C148" s="2197"/>
      <c r="D148" s="2197"/>
      <c r="E148" s="5470"/>
      <c r="F148" s="5470" t="s">
        <v>90</v>
      </c>
      <c r="G148" s="5470"/>
      <c r="H148" s="5470"/>
      <c r="I148" s="5472"/>
      <c r="J148" s="5472"/>
      <c r="K148" s="5471" t="str">
        <f>J147&amp;".1"</f>
        <v>1.4.1.1.1.1</v>
      </c>
      <c r="L148" s="2198"/>
      <c r="M148" s="2208"/>
      <c r="N148" s="2208"/>
      <c r="O148" s="2208"/>
      <c r="P148" s="5473"/>
      <c r="Q148" s="5473"/>
      <c r="R148" s="2212">
        <v>1</v>
      </c>
      <c r="S148" s="2203" t="str">
        <f>$K148</f>
        <v>1.4.1.1.1.1</v>
      </c>
      <c r="T148" s="2215" t="s">
        <v>569</v>
      </c>
      <c r="U148" s="2205"/>
      <c r="V148" s="2055"/>
      <c r="W148" s="2055"/>
      <c r="X148" s="2056"/>
      <c r="Y148" s="5474"/>
      <c r="Z148" s="5338" t="s">
        <v>66</v>
      </c>
      <c r="AA148" s="5474"/>
      <c r="AB148" s="5338" t="s">
        <v>66</v>
      </c>
      <c r="AC148" s="2055">
        <v>23.92</v>
      </c>
      <c r="AD148" s="2055"/>
      <c r="AE148" s="2056"/>
      <c r="AF148" s="5474">
        <v>45658.613935185182</v>
      </c>
      <c r="AG148" s="5338" t="s">
        <v>66</v>
      </c>
      <c r="AH148" s="5476">
        <v>46022.614050925928</v>
      </c>
      <c r="AI148" s="5338" t="s">
        <v>66</v>
      </c>
      <c r="AJ148" s="2055">
        <v>21.09</v>
      </c>
      <c r="AK148" s="2055"/>
      <c r="AL148" s="2056"/>
      <c r="AM148" s="5474">
        <v>46023.634641203702</v>
      </c>
      <c r="AN148" s="5338" t="s">
        <v>66</v>
      </c>
      <c r="AO148" s="5474">
        <v>46387.635046296295</v>
      </c>
      <c r="AP148" s="5338" t="s">
        <v>66</v>
      </c>
      <c r="AQ148" s="2055">
        <v>21.63</v>
      </c>
      <c r="AR148" s="2055"/>
      <c r="AS148" s="2056"/>
      <c r="AT148" s="5474">
        <v>46388.635162037041</v>
      </c>
      <c r="AU148" s="5338" t="s">
        <v>66</v>
      </c>
      <c r="AV148" s="5474">
        <v>46752.635289351849</v>
      </c>
      <c r="AW148" s="5338" t="s">
        <v>66</v>
      </c>
      <c r="AX148" s="2055">
        <v>22.2</v>
      </c>
      <c r="AY148" s="2055"/>
      <c r="AZ148" s="2056"/>
      <c r="BA148" s="5474">
        <v>46753.635439814818</v>
      </c>
      <c r="BB148" s="5338" t="s">
        <v>66</v>
      </c>
      <c r="BC148" s="5474">
        <v>47118.635567129626</v>
      </c>
      <c r="BD148" s="5338" t="s">
        <v>66</v>
      </c>
      <c r="BE148" s="2216"/>
      <c r="BF148"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48" s="2129" t="e">
        <f ca="1">STRCHECKDATE(V149:BE149)</f>
        <v>#NAME?</v>
      </c>
      <c r="BH148" s="2207"/>
      <c r="BI148" s="2207" t="str">
        <f t="shared" si="2"/>
        <v>без НДС</v>
      </c>
      <c r="BJ148" s="2207"/>
      <c r="BK148" s="2207"/>
      <c r="BL148" s="2054">
        <v>0</v>
      </c>
    </row>
    <row r="149" spans="1:64" s="4738" customFormat="1" ht="14.25" customHeight="1">
      <c r="A149" s="2197"/>
      <c r="B149" s="2197"/>
      <c r="C149" s="2197"/>
      <c r="D149" s="2197"/>
      <c r="E149" s="5470"/>
      <c r="F149" s="5470" t="s">
        <v>90</v>
      </c>
      <c r="G149" s="5470"/>
      <c r="H149" s="5470"/>
      <c r="I149" s="5472"/>
      <c r="J149" s="5472"/>
      <c r="K149" s="5471"/>
      <c r="L149" s="2198"/>
      <c r="M149" s="2208"/>
      <c r="N149" s="2208"/>
      <c r="O149" s="2208"/>
      <c r="P149" s="5473"/>
      <c r="Q149" s="5473"/>
      <c r="R149" s="2212"/>
      <c r="S149" s="2217"/>
      <c r="T149" s="2205"/>
      <c r="U149" s="2205"/>
      <c r="V149" s="2057"/>
      <c r="W149" s="2057"/>
      <c r="X149" s="2058" t="str">
        <f>Y148&amp;"-"&amp;AA148</f>
        <v>-</v>
      </c>
      <c r="Y149" s="5475"/>
      <c r="Z149" s="5338"/>
      <c r="AA149" s="5475"/>
      <c r="AB149" s="5338"/>
      <c r="AC149" s="2057"/>
      <c r="AD149" s="2057"/>
      <c r="AE149" s="2058" t="str">
        <f>AF148&amp;"-"&amp;AH148</f>
        <v>45658,6139351852-46022,6140509259</v>
      </c>
      <c r="AF149" s="5475"/>
      <c r="AG149" s="5338"/>
      <c r="AH149" s="5477"/>
      <c r="AI149" s="5338"/>
      <c r="AJ149" s="2057"/>
      <c r="AK149" s="2057"/>
      <c r="AL149" s="2058" t="str">
        <f>AM148&amp;"-"&amp;AO148</f>
        <v>46023,6346412037-46387,6350462963</v>
      </c>
      <c r="AM149" s="5475"/>
      <c r="AN149" s="5338"/>
      <c r="AO149" s="5475"/>
      <c r="AP149" s="5338"/>
      <c r="AQ149" s="2057"/>
      <c r="AR149" s="2057"/>
      <c r="AS149" s="2058" t="str">
        <f>AT148&amp;"-"&amp;AV148</f>
        <v>46388,635162037-46752,6352893518</v>
      </c>
      <c r="AT149" s="5475"/>
      <c r="AU149" s="5338"/>
      <c r="AV149" s="5475"/>
      <c r="AW149" s="5338"/>
      <c r="AX149" s="2057"/>
      <c r="AY149" s="2057"/>
      <c r="AZ149" s="2058" t="str">
        <f>BA148&amp;"-"&amp;BC148</f>
        <v>46753,6354398148-47118,6355671296</v>
      </c>
      <c r="BA149" s="5475"/>
      <c r="BB149" s="5338"/>
      <c r="BC149" s="5475"/>
      <c r="BD149" s="5338"/>
      <c r="BE149" s="2218"/>
      <c r="BF149" s="5543"/>
      <c r="BG149" s="2129"/>
      <c r="BH149" s="2207"/>
      <c r="BI149" s="2207" t="str">
        <f t="shared" si="2"/>
        <v/>
      </c>
      <c r="BJ149" s="2207"/>
      <c r="BK149" s="2207"/>
      <c r="BL149" s="2054">
        <v>0</v>
      </c>
    </row>
    <row r="150" spans="1:64" s="4739" customFormat="1" ht="21" customHeight="1">
      <c r="A150" s="2197"/>
      <c r="B150" s="2197"/>
      <c r="C150" s="2197"/>
      <c r="D150" s="2197"/>
      <c r="E150" s="5470"/>
      <c r="F150" s="5470" t="s">
        <v>90</v>
      </c>
      <c r="G150" s="5470"/>
      <c r="H150" s="5470"/>
      <c r="I150" s="5472"/>
      <c r="J150" s="5471"/>
      <c r="K150" s="2197"/>
      <c r="L150" s="2198"/>
      <c r="M150" s="2208"/>
      <c r="N150" s="2208"/>
      <c r="O150" s="2208"/>
      <c r="P150" s="5473"/>
      <c r="Q150" s="5473"/>
      <c r="R150" s="2210"/>
      <c r="S150" s="3064"/>
      <c r="T150" s="3065" t="s">
        <v>576</v>
      </c>
      <c r="U150" s="3066"/>
      <c r="V150" s="3067"/>
      <c r="W150" s="3068"/>
      <c r="X150" s="3069"/>
      <c r="Y150" s="3070"/>
      <c r="Z150" s="3071"/>
      <c r="AA150" s="3072"/>
      <c r="AB150" s="3073"/>
      <c r="AC150" s="3074"/>
      <c r="AD150" s="3075"/>
      <c r="AE150" s="3076"/>
      <c r="AF150" s="3077"/>
      <c r="AG150" s="3078"/>
      <c r="AH150" s="3079"/>
      <c r="AI150" s="3080"/>
      <c r="AJ150" s="3081"/>
      <c r="AK150" s="3082"/>
      <c r="AL150" s="3083"/>
      <c r="AM150" s="3084"/>
      <c r="AN150" s="3085"/>
      <c r="AO150" s="3086"/>
      <c r="AP150" s="3087"/>
      <c r="AQ150" s="3088"/>
      <c r="AR150" s="3089"/>
      <c r="AS150" s="3090"/>
      <c r="AT150" s="3091"/>
      <c r="AU150" s="3092"/>
      <c r="AV150" s="3093"/>
      <c r="AW150" s="3094"/>
      <c r="AX150" s="3095"/>
      <c r="AY150" s="3096"/>
      <c r="AZ150" s="3097"/>
      <c r="BA150" s="3098"/>
      <c r="BB150" s="3099"/>
      <c r="BC150" s="3100"/>
      <c r="BD150" s="3101"/>
      <c r="BE150" s="3102"/>
      <c r="BF150" s="2206" t="s">
        <v>577</v>
      </c>
      <c r="BG150" s="2129"/>
      <c r="BH150" s="2207"/>
      <c r="BI150" s="2207" t="str">
        <f t="shared" si="2"/>
        <v>Добавить значение признака дифференциации</v>
      </c>
      <c r="BJ150" s="2207"/>
      <c r="BK150" s="2207"/>
      <c r="BL150" s="2054">
        <v>0</v>
      </c>
    </row>
    <row r="151" spans="1:64" s="4740" customFormat="1" ht="23.25" customHeight="1">
      <c r="A151" s="4309"/>
      <c r="B151" s="4309"/>
      <c r="C151" s="4309"/>
      <c r="D151" s="4309"/>
      <c r="E151" s="5470"/>
      <c r="F151" s="5470"/>
      <c r="G151" s="5470"/>
      <c r="H151" s="5470"/>
      <c r="I151" s="5472"/>
      <c r="J151" s="5471" t="str">
        <f>I146&amp;".2"</f>
        <v>1.4.1.1.2</v>
      </c>
      <c r="K151" s="4309"/>
      <c r="L151" s="4310" t="s">
        <v>499</v>
      </c>
      <c r="M151" s="4311"/>
      <c r="N151" s="4311"/>
      <c r="O151" s="4311"/>
      <c r="P151" s="5473"/>
      <c r="Q151" s="5553" t="s">
        <v>104</v>
      </c>
      <c r="R151" s="4312"/>
      <c r="S151" s="4313" t="str">
        <f>$J151</f>
        <v>1.4.1.1.2</v>
      </c>
      <c r="T151" s="4314" t="s">
        <v>500</v>
      </c>
      <c r="U151" s="4315"/>
      <c r="V151" s="5457"/>
      <c r="W151" s="5458"/>
      <c r="X151" s="5458"/>
      <c r="Y151" s="5458"/>
      <c r="Z151" s="5458"/>
      <c r="AA151" s="5458"/>
      <c r="AB151" s="5459"/>
      <c r="AC151" s="5457" t="s">
        <v>612</v>
      </c>
      <c r="AD151" s="5458"/>
      <c r="AE151" s="5458"/>
      <c r="AF151" s="5458"/>
      <c r="AG151" s="5458"/>
      <c r="AH151" s="5458"/>
      <c r="AI151" s="5458"/>
      <c r="AJ151" s="5457"/>
      <c r="AK151" s="5458"/>
      <c r="AL151" s="5458"/>
      <c r="AM151" s="5458"/>
      <c r="AN151" s="5458"/>
      <c r="AO151" s="5458"/>
      <c r="AP151" s="5459"/>
      <c r="AQ151" s="5457"/>
      <c r="AR151" s="5458"/>
      <c r="AS151" s="5458"/>
      <c r="AT151" s="5458"/>
      <c r="AU151" s="5458"/>
      <c r="AV151" s="5458"/>
      <c r="AW151" s="5459"/>
      <c r="AX151" s="5457"/>
      <c r="AY151" s="5458"/>
      <c r="AZ151" s="5458"/>
      <c r="BA151" s="5458"/>
      <c r="BB151" s="5458"/>
      <c r="BC151" s="5458"/>
      <c r="BD151" s="5554"/>
      <c r="BE151" s="5459"/>
      <c r="BF151" s="4316" t="s">
        <v>575</v>
      </c>
      <c r="BG151" s="4317"/>
      <c r="BH151" s="4318"/>
      <c r="BI151" s="4318" t="str">
        <f t="shared" si="2"/>
        <v>Группа потребителей</v>
      </c>
      <c r="BJ151" s="4318"/>
      <c r="BK151" s="4318"/>
      <c r="BL151" s="4319">
        <v>0</v>
      </c>
    </row>
    <row r="152" spans="1:64" s="4741" customFormat="1" ht="23.25" customHeight="1">
      <c r="A152" s="4309"/>
      <c r="B152" s="4309"/>
      <c r="C152" s="4309"/>
      <c r="D152" s="4309"/>
      <c r="E152" s="5470"/>
      <c r="F152" s="5470"/>
      <c r="G152" s="5470"/>
      <c r="H152" s="5470"/>
      <c r="I152" s="5472"/>
      <c r="J152" s="5472" t="str">
        <f>I146&amp;".1"</f>
        <v>1.4.1.1.1</v>
      </c>
      <c r="K152" s="5471" t="str">
        <f>J151&amp;".1"</f>
        <v>1.4.1.1.2.1</v>
      </c>
      <c r="L152" s="4310"/>
      <c r="M152" s="4311"/>
      <c r="N152" s="4311"/>
      <c r="O152" s="4311"/>
      <c r="P152" s="5473"/>
      <c r="Q152" s="5473"/>
      <c r="R152" s="4312">
        <v>1</v>
      </c>
      <c r="S152" s="4313" t="str">
        <f>$K152</f>
        <v>1.4.1.1.2.1</v>
      </c>
      <c r="T152" s="4321" t="s">
        <v>568</v>
      </c>
      <c r="U152" s="4315"/>
      <c r="V152" s="4322"/>
      <c r="W152" s="4322"/>
      <c r="X152" s="4323"/>
      <c r="Y152" s="5474"/>
      <c r="Z152" s="5338" t="s">
        <v>66</v>
      </c>
      <c r="AA152" s="5474"/>
      <c r="AB152" s="5338" t="s">
        <v>66</v>
      </c>
      <c r="AC152" s="4322">
        <v>28.7</v>
      </c>
      <c r="AD152" s="4322"/>
      <c r="AE152" s="4323"/>
      <c r="AF152" s="5474">
        <v>45658.665208333332</v>
      </c>
      <c r="AG152" s="5338" t="s">
        <v>66</v>
      </c>
      <c r="AH152" s="5476">
        <v>46022.665254629632</v>
      </c>
      <c r="AI152" s="5338" t="s">
        <v>66</v>
      </c>
      <c r="AJ152" s="4322">
        <v>25.31</v>
      </c>
      <c r="AK152" s="4322"/>
      <c r="AL152" s="4323"/>
      <c r="AM152" s="5474">
        <v>46023.665648148148</v>
      </c>
      <c r="AN152" s="5338" t="s">
        <v>66</v>
      </c>
      <c r="AO152" s="5474">
        <v>46387.665706018517</v>
      </c>
      <c r="AP152" s="5338" t="s">
        <v>66</v>
      </c>
      <c r="AQ152" s="4322">
        <v>25.96</v>
      </c>
      <c r="AR152" s="4322"/>
      <c r="AS152" s="4323"/>
      <c r="AT152" s="5474">
        <v>46388.666076388887</v>
      </c>
      <c r="AU152" s="5338" t="s">
        <v>66</v>
      </c>
      <c r="AV152" s="5474">
        <v>46752.666145833333</v>
      </c>
      <c r="AW152" s="5338" t="s">
        <v>66</v>
      </c>
      <c r="AX152" s="4322">
        <v>26.64</v>
      </c>
      <c r="AY152" s="4322"/>
      <c r="AZ152" s="4323"/>
      <c r="BA152" s="5474">
        <v>46753.666377314818</v>
      </c>
      <c r="BB152" s="5338" t="s">
        <v>66</v>
      </c>
      <c r="BC152" s="5474">
        <v>47118.666458333333</v>
      </c>
      <c r="BD152" s="5555" t="s">
        <v>66</v>
      </c>
      <c r="BE152" s="4324"/>
      <c r="BF152"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52" s="4317" t="e">
        <f ca="1">STRCHECKDATE(V153:BE153)</f>
        <v>#NAME?</v>
      </c>
      <c r="BH152" s="4318"/>
      <c r="BI152" s="4318" t="str">
        <f t="shared" si="2"/>
        <v>с НДС</v>
      </c>
      <c r="BJ152" s="4318"/>
      <c r="BK152" s="4318"/>
      <c r="BL152" s="4319">
        <v>0</v>
      </c>
    </row>
    <row r="153" spans="1:64" s="4742" customFormat="1" ht="14.25" customHeight="1">
      <c r="A153" s="4309"/>
      <c r="B153" s="4309"/>
      <c r="C153" s="4309"/>
      <c r="D153" s="4309"/>
      <c r="E153" s="5470"/>
      <c r="F153" s="5470"/>
      <c r="G153" s="5470"/>
      <c r="H153" s="5470"/>
      <c r="I153" s="5472"/>
      <c r="J153" s="5472" t="str">
        <f>I146&amp;".1"</f>
        <v>1.4.1.1.1</v>
      </c>
      <c r="K153" s="5471"/>
      <c r="L153" s="4310"/>
      <c r="M153" s="4311"/>
      <c r="N153" s="4311"/>
      <c r="O153" s="4311"/>
      <c r="P153" s="5473"/>
      <c r="Q153" s="5473"/>
      <c r="R153" s="4312"/>
      <c r="S153" s="4326"/>
      <c r="T153" s="4315"/>
      <c r="U153" s="4315"/>
      <c r="V153" s="4327"/>
      <c r="W153" s="4327"/>
      <c r="X153" s="4328" t="str">
        <f>Y152&amp;"-"&amp;AA152</f>
        <v>-</v>
      </c>
      <c r="Y153" s="5475"/>
      <c r="Z153" s="5338"/>
      <c r="AA153" s="5475"/>
      <c r="AB153" s="5338"/>
      <c r="AC153" s="4327"/>
      <c r="AD153" s="4327"/>
      <c r="AE153" s="4328" t="str">
        <f>AF152&amp;"-"&amp;AH152</f>
        <v>45658,6652083333-46022,6652546296</v>
      </c>
      <c r="AF153" s="5475"/>
      <c r="AG153" s="5338"/>
      <c r="AH153" s="5477"/>
      <c r="AI153" s="5338"/>
      <c r="AJ153" s="4327"/>
      <c r="AK153" s="4327"/>
      <c r="AL153" s="4328" t="str">
        <f>AM152&amp;"-"&amp;AO152</f>
        <v>46023,6656481481-46387,6657060185</v>
      </c>
      <c r="AM153" s="5475"/>
      <c r="AN153" s="5338"/>
      <c r="AO153" s="5475"/>
      <c r="AP153" s="5338"/>
      <c r="AQ153" s="4327"/>
      <c r="AR153" s="4327"/>
      <c r="AS153" s="4328" t="str">
        <f>AT152&amp;"-"&amp;AV152</f>
        <v>46388,6660763889-46752,6661458333</v>
      </c>
      <c r="AT153" s="5475"/>
      <c r="AU153" s="5338"/>
      <c r="AV153" s="5475"/>
      <c r="AW153" s="5338"/>
      <c r="AX153" s="4327"/>
      <c r="AY153" s="4327"/>
      <c r="AZ153" s="4328" t="str">
        <f>BA152&amp;"-"&amp;BC152</f>
        <v>46753,6663773148-47118,6664583333</v>
      </c>
      <c r="BA153" s="5475"/>
      <c r="BB153" s="5338"/>
      <c r="BC153" s="5475"/>
      <c r="BD153" s="5555"/>
      <c r="BE153" s="4329"/>
      <c r="BF153" s="5543"/>
      <c r="BG153" s="4317"/>
      <c r="BH153" s="4318"/>
      <c r="BI153" s="4318" t="str">
        <f t="shared" si="2"/>
        <v/>
      </c>
      <c r="BJ153" s="4318"/>
      <c r="BK153" s="4318"/>
      <c r="BL153" s="4319">
        <v>0</v>
      </c>
    </row>
    <row r="154" spans="1:64" s="4743" customFormat="1" ht="21" customHeight="1">
      <c r="A154" s="4309"/>
      <c r="B154" s="4309"/>
      <c r="C154" s="4309"/>
      <c r="D154" s="4309"/>
      <c r="E154" s="5470"/>
      <c r="F154" s="5470"/>
      <c r="G154" s="5470"/>
      <c r="H154" s="5470"/>
      <c r="I154" s="5472"/>
      <c r="J154" s="5471" t="str">
        <f>I146&amp;".1"</f>
        <v>1.4.1.1.1</v>
      </c>
      <c r="K154" s="4309"/>
      <c r="L154" s="4310"/>
      <c r="M154" s="4311"/>
      <c r="N154" s="4311"/>
      <c r="O154" s="4311"/>
      <c r="P154" s="5473"/>
      <c r="Q154" s="5473"/>
      <c r="R154" s="4331"/>
      <c r="S154" s="4744"/>
      <c r="T154" s="4745" t="s">
        <v>576</v>
      </c>
      <c r="U154" s="4746"/>
      <c r="V154" s="4747"/>
      <c r="W154" s="4748"/>
      <c r="X154" s="4749"/>
      <c r="Y154" s="4750"/>
      <c r="Z154" s="4751"/>
      <c r="AA154" s="4752"/>
      <c r="AB154" s="4753"/>
      <c r="AC154" s="4754"/>
      <c r="AD154" s="4755"/>
      <c r="AE154" s="4756"/>
      <c r="AF154" s="4757"/>
      <c r="AG154" s="4758"/>
      <c r="AH154" s="4759"/>
      <c r="AI154" s="4760"/>
      <c r="AJ154" s="4761"/>
      <c r="AK154" s="4762"/>
      <c r="AL154" s="4763"/>
      <c r="AM154" s="4764"/>
      <c r="AN154" s="4765"/>
      <c r="AO154" s="4766"/>
      <c r="AP154" s="4767"/>
      <c r="AQ154" s="4768"/>
      <c r="AR154" s="4769"/>
      <c r="AS154" s="4770"/>
      <c r="AT154" s="4771"/>
      <c r="AU154" s="4772"/>
      <c r="AV154" s="4773"/>
      <c r="AW154" s="4774"/>
      <c r="AX154" s="4775"/>
      <c r="AY154" s="4776"/>
      <c r="AZ154" s="4777"/>
      <c r="BA154" s="4778"/>
      <c r="BB154" s="4779"/>
      <c r="BC154" s="4780"/>
      <c r="BD154" s="4781"/>
      <c r="BE154" s="4782"/>
      <c r="BF154" s="4371" t="s">
        <v>577</v>
      </c>
      <c r="BG154" s="4317"/>
      <c r="BH154" s="4318"/>
      <c r="BI154" s="4318" t="str">
        <f t="shared" si="2"/>
        <v>Добавить значение признака дифференциации</v>
      </c>
      <c r="BJ154" s="4318"/>
      <c r="BK154" s="4318"/>
      <c r="BL154" s="4319">
        <v>0</v>
      </c>
    </row>
    <row r="155" spans="1:64" s="4783" customFormat="1" ht="21" customHeight="1">
      <c r="A155" s="2197"/>
      <c r="B155" s="2197"/>
      <c r="C155" s="2197"/>
      <c r="D155" s="2197"/>
      <c r="E155" s="5470"/>
      <c r="F155" s="5470" t="s">
        <v>90</v>
      </c>
      <c r="G155" s="5470"/>
      <c r="H155" s="5470"/>
      <c r="I155" s="5471"/>
      <c r="J155" s="2197"/>
      <c r="K155" s="2197"/>
      <c r="L155" s="2198"/>
      <c r="M155" s="2208"/>
      <c r="N155" s="2208"/>
      <c r="O155" s="2208"/>
      <c r="P155" s="5473"/>
      <c r="Q155" s="2209"/>
      <c r="R155" s="2210"/>
      <c r="S155" s="3103"/>
      <c r="T155" s="3104" t="s">
        <v>505</v>
      </c>
      <c r="U155" s="3105"/>
      <c r="V155" s="3106"/>
      <c r="W155" s="3107"/>
      <c r="X155" s="3108"/>
      <c r="Y155" s="3109"/>
      <c r="Z155" s="3110"/>
      <c r="AA155" s="3111"/>
      <c r="AB155" s="3112"/>
      <c r="AC155" s="3113"/>
      <c r="AD155" s="3114"/>
      <c r="AE155" s="3115"/>
      <c r="AF155" s="3116"/>
      <c r="AG155" s="3117"/>
      <c r="AH155" s="3118"/>
      <c r="AI155" s="3119"/>
      <c r="AJ155" s="3120"/>
      <c r="AK155" s="3121"/>
      <c r="AL155" s="3122"/>
      <c r="AM155" s="3123"/>
      <c r="AN155" s="3124"/>
      <c r="AO155" s="3125"/>
      <c r="AP155" s="3126"/>
      <c r="AQ155" s="3127"/>
      <c r="AR155" s="3128"/>
      <c r="AS155" s="3129"/>
      <c r="AT155" s="3130"/>
      <c r="AU155" s="3131"/>
      <c r="AV155" s="3132"/>
      <c r="AW155" s="3133"/>
      <c r="AX155" s="3134"/>
      <c r="AY155" s="3135"/>
      <c r="AZ155" s="3136"/>
      <c r="BA155" s="3137"/>
      <c r="BB155" s="3138"/>
      <c r="BC155" s="3139"/>
      <c r="BD155" s="3140"/>
      <c r="BE155" s="3141"/>
      <c r="BF155" s="3142"/>
      <c r="BG155" s="2129"/>
      <c r="BH155" s="2207"/>
      <c r="BI155" s="2207" t="str">
        <f t="shared" si="2"/>
        <v>Добавить группу потребителей</v>
      </c>
      <c r="BJ155" s="2207"/>
      <c r="BK155" s="2207"/>
      <c r="BL155" s="2054">
        <v>0</v>
      </c>
    </row>
    <row r="156" spans="1:64" s="4784" customFormat="1" ht="21" customHeight="1">
      <c r="A156" s="2197"/>
      <c r="B156" s="2197"/>
      <c r="C156" s="2197"/>
      <c r="D156" s="2197"/>
      <c r="E156" s="5470"/>
      <c r="F156" s="5470" t="s">
        <v>90</v>
      </c>
      <c r="G156" s="5470"/>
      <c r="H156" s="5469"/>
      <c r="I156" s="2197"/>
      <c r="J156" s="2197"/>
      <c r="K156" s="2197"/>
      <c r="L156" s="2198"/>
      <c r="M156" s="2199"/>
      <c r="N156" s="2199"/>
      <c r="O156" s="2123"/>
      <c r="P156" s="2298"/>
      <c r="Q156" s="2299"/>
      <c r="R156" s="2300"/>
      <c r="S156" s="3143"/>
      <c r="T156" s="3144" t="s">
        <v>578</v>
      </c>
      <c r="U156" s="3145"/>
      <c r="V156" s="3146"/>
      <c r="W156" s="3147"/>
      <c r="X156" s="3148"/>
      <c r="Y156" s="3149"/>
      <c r="Z156" s="3150"/>
      <c r="AA156" s="3151"/>
      <c r="AB156" s="3152"/>
      <c r="AC156" s="3153"/>
      <c r="AD156" s="3154"/>
      <c r="AE156" s="3155"/>
      <c r="AF156" s="3156"/>
      <c r="AG156" s="3157"/>
      <c r="AH156" s="3158"/>
      <c r="AI156" s="3159"/>
      <c r="AJ156" s="3160"/>
      <c r="AK156" s="3161"/>
      <c r="AL156" s="3162"/>
      <c r="AM156" s="3163"/>
      <c r="AN156" s="3164"/>
      <c r="AO156" s="3165"/>
      <c r="AP156" s="3166"/>
      <c r="AQ156" s="3167"/>
      <c r="AR156" s="3168"/>
      <c r="AS156" s="3169"/>
      <c r="AT156" s="3170"/>
      <c r="AU156" s="3171"/>
      <c r="AV156" s="3172"/>
      <c r="AW156" s="3173"/>
      <c r="AX156" s="3174"/>
      <c r="AY156" s="3175"/>
      <c r="AZ156" s="3176"/>
      <c r="BA156" s="3177"/>
      <c r="BB156" s="3178"/>
      <c r="BC156" s="3179"/>
      <c r="BD156" s="3180"/>
      <c r="BE156" s="3181"/>
      <c r="BF156" s="3182"/>
      <c r="BG156" s="2129"/>
      <c r="BH156" s="2207"/>
      <c r="BI156" s="2207" t="str">
        <f t="shared" si="2"/>
        <v>Добавить наименование признака дифференциации</v>
      </c>
      <c r="BJ156" s="2207"/>
      <c r="BK156" s="2207"/>
      <c r="BL156" s="2054">
        <v>0</v>
      </c>
    </row>
    <row r="157" spans="1:64" s="4785" customFormat="1" ht="14.25" customHeight="1">
      <c r="A157" s="2938"/>
      <c r="B157" s="2938"/>
      <c r="C157" s="2938"/>
      <c r="D157" s="2938"/>
      <c r="E157" s="5470"/>
      <c r="F157" s="5469" t="s">
        <v>90</v>
      </c>
      <c r="G157" s="2938"/>
      <c r="H157" s="2938"/>
      <c r="I157" s="2938"/>
      <c r="J157" s="2938"/>
      <c r="K157" s="2938"/>
      <c r="L157" s="2939"/>
      <c r="M157" s="2940"/>
      <c r="N157" s="2940"/>
      <c r="O157" s="2129"/>
      <c r="P157" s="2941"/>
      <c r="Q157" s="2942"/>
      <c r="R157" s="2941"/>
      <c r="S157" s="2943"/>
      <c r="T157" s="2944" t="s">
        <v>312</v>
      </c>
      <c r="U157" s="2122"/>
      <c r="V157" s="2122"/>
      <c r="W157" s="2122"/>
      <c r="X157" s="2122"/>
      <c r="Y157" s="2122"/>
      <c r="Z157" s="2122"/>
      <c r="AA157" s="2122"/>
      <c r="AB157" s="2122"/>
      <c r="AC157" s="2122"/>
      <c r="AD157" s="2122"/>
      <c r="AE157" s="2122"/>
      <c r="AF157" s="2122"/>
      <c r="AG157" s="2122"/>
      <c r="AH157" s="2122"/>
      <c r="AI157" s="2122"/>
      <c r="AJ157" s="2122"/>
      <c r="AK157" s="2122"/>
      <c r="AL157" s="2122"/>
      <c r="AM157" s="2122"/>
      <c r="AN157" s="2122"/>
      <c r="AO157" s="2122"/>
      <c r="AP157" s="2122"/>
      <c r="AQ157" s="2122"/>
      <c r="AR157" s="2122"/>
      <c r="AS157" s="2122"/>
      <c r="AT157" s="2122"/>
      <c r="AU157" s="2122"/>
      <c r="AV157" s="2122"/>
      <c r="AW157" s="2122"/>
      <c r="AX157" s="2122"/>
      <c r="AY157" s="2122"/>
      <c r="AZ157" s="2122"/>
      <c r="BA157" s="2122"/>
      <c r="BB157" s="2122"/>
      <c r="BC157" s="2122"/>
      <c r="BD157" s="2122"/>
      <c r="BE157" s="2122"/>
      <c r="BF157" s="2122"/>
      <c r="BG157" s="2129"/>
      <c r="BH157" s="2207"/>
      <c r="BI157" s="2207" t="str">
        <f t="shared" si="2"/>
        <v>Добавить централизованную систему для дифференциации</v>
      </c>
      <c r="BJ157" s="2207"/>
      <c r="BK157" s="2207"/>
      <c r="BL157" s="2129">
        <v>0</v>
      </c>
    </row>
    <row r="158" spans="1:64" s="4786" customFormat="1" ht="23.25" customHeight="1">
      <c r="A158" s="2197"/>
      <c r="B158" s="2197" t="s">
        <v>329</v>
      </c>
      <c r="C158" s="2197"/>
      <c r="D158" s="2197"/>
      <c r="E158" s="5470"/>
      <c r="F158" s="5469" t="s">
        <v>116</v>
      </c>
      <c r="G158" s="2197"/>
      <c r="H158" s="2197"/>
      <c r="I158" s="2197"/>
      <c r="J158" s="2197"/>
      <c r="K158" s="2197"/>
      <c r="L158" s="2198"/>
      <c r="M158" s="2199"/>
      <c r="N158" s="2199"/>
      <c r="O158" s="2199"/>
      <c r="P158" s="2698"/>
      <c r="Q158" s="2201"/>
      <c r="R158" s="2202"/>
      <c r="S158" s="2203" t="str">
        <f>INDEX(PT_DIFFERENTIATION_NUM_TER,MATCH(B158,PT_DIFFERENTIATION_TER_ID,0))</f>
        <v>1.5</v>
      </c>
      <c r="T158" s="2699" t="s">
        <v>490</v>
      </c>
      <c r="U158" s="2205"/>
      <c r="V158" s="5463"/>
      <c r="W158" s="5464"/>
      <c r="X158" s="5464"/>
      <c r="Y158" s="5464"/>
      <c r="Z158" s="5464"/>
      <c r="AA158" s="5464"/>
      <c r="AB158" s="5465"/>
      <c r="AC158" s="5463" t="str">
        <f>INDEX(PT_DIFFERENTIATION_TER,MATCH(B158,PT_DIFFERENTIATION_TER_ID,0))</f>
        <v>Территория 5</v>
      </c>
      <c r="AD158" s="5464"/>
      <c r="AE158" s="5464"/>
      <c r="AF158" s="5464"/>
      <c r="AG158" s="5464"/>
      <c r="AH158" s="5464"/>
      <c r="AI158" s="5464"/>
      <c r="AJ158" s="5463"/>
      <c r="AK158" s="5464"/>
      <c r="AL158" s="5464"/>
      <c r="AM158" s="5464"/>
      <c r="AN158" s="5464"/>
      <c r="AO158" s="5464"/>
      <c r="AP158" s="5465"/>
      <c r="AQ158" s="5463"/>
      <c r="AR158" s="5464"/>
      <c r="AS158" s="5464"/>
      <c r="AT158" s="5464"/>
      <c r="AU158" s="5464"/>
      <c r="AV158" s="5464"/>
      <c r="AW158" s="5465"/>
      <c r="AX158" s="5463"/>
      <c r="AY158" s="5464"/>
      <c r="AZ158" s="5464"/>
      <c r="BA158" s="5464"/>
      <c r="BB158" s="5464"/>
      <c r="BC158" s="5464"/>
      <c r="BD158" s="5465"/>
      <c r="BE158" s="5465"/>
      <c r="BF158" s="2206" t="s">
        <v>491</v>
      </c>
      <c r="BG158" s="2129"/>
      <c r="BH158" s="2207"/>
      <c r="BI158" s="2207" t="str">
        <f t="shared" si="2"/>
        <v>Территория действия тарифа</v>
      </c>
      <c r="BJ158" s="2207"/>
      <c r="BK158" s="2207"/>
      <c r="BL158" s="2054">
        <v>0</v>
      </c>
    </row>
    <row r="159" spans="1:64" s="4787" customFormat="1" ht="23.25" customHeight="1">
      <c r="A159" s="2197"/>
      <c r="B159" s="2197"/>
      <c r="C159" s="2197" t="s">
        <v>330</v>
      </c>
      <c r="D159" s="2197"/>
      <c r="E159" s="5470"/>
      <c r="F159" s="5470" t="s">
        <v>91</v>
      </c>
      <c r="G159" s="5469">
        <v>1</v>
      </c>
      <c r="H159" s="2197"/>
      <c r="I159" s="2197"/>
      <c r="J159" s="2197"/>
      <c r="K159" s="2197"/>
      <c r="L159" s="2198"/>
      <c r="M159" s="2199"/>
      <c r="N159" s="2199"/>
      <c r="O159" s="2199"/>
      <c r="P159" s="2200"/>
      <c r="Q159" s="2201"/>
      <c r="R159" s="2202"/>
      <c r="S159" s="2203" t="str">
        <f>INDEX(PT_DIFFERENTIATION_NUM_CS,MATCH(C159,PT_DIFFERENTIATION_CS_ID,0))</f>
        <v>1.5.1</v>
      </c>
      <c r="T159" s="2204" t="s">
        <v>606</v>
      </c>
      <c r="U159" s="2205"/>
      <c r="V159" s="5463"/>
      <c r="W159" s="5464"/>
      <c r="X159" s="5464"/>
      <c r="Y159" s="5464"/>
      <c r="Z159" s="5464"/>
      <c r="AA159" s="5464"/>
      <c r="AB159" s="5465"/>
      <c r="AC159" s="5463" t="str">
        <f>INDEX(PT_DIFFERENTIATION_CS,MATCH(C159,PT_DIFFERENTIATION_CS_ID,0))</f>
        <v>Новошахтинское ГП</v>
      </c>
      <c r="AD159" s="5464"/>
      <c r="AE159" s="5464"/>
      <c r="AF159" s="5464"/>
      <c r="AG159" s="5464"/>
      <c r="AH159" s="5464"/>
      <c r="AI159" s="5464"/>
      <c r="AJ159" s="5463"/>
      <c r="AK159" s="5464"/>
      <c r="AL159" s="5464"/>
      <c r="AM159" s="5464"/>
      <c r="AN159" s="5464"/>
      <c r="AO159" s="5464"/>
      <c r="AP159" s="5465"/>
      <c r="AQ159" s="5463"/>
      <c r="AR159" s="5464"/>
      <c r="AS159" s="5464"/>
      <c r="AT159" s="5464"/>
      <c r="AU159" s="5464"/>
      <c r="AV159" s="5464"/>
      <c r="AW159" s="5465"/>
      <c r="AX159" s="5463"/>
      <c r="AY159" s="5464"/>
      <c r="AZ159" s="5464"/>
      <c r="BA159" s="5464"/>
      <c r="BB159" s="5464"/>
      <c r="BC159" s="5464"/>
      <c r="BD159" s="5465"/>
      <c r="BE159" s="5465"/>
      <c r="BF159" s="2206" t="s">
        <v>607</v>
      </c>
      <c r="BG159" s="2129"/>
      <c r="BH159" s="2207"/>
      <c r="BI159" s="2207" t="str">
        <f t="shared" si="2"/>
        <v>Наименование централизованной системы водоотведения</v>
      </c>
      <c r="BJ159" s="2207"/>
      <c r="BK159" s="2207"/>
      <c r="BL159" s="2054">
        <v>0</v>
      </c>
    </row>
    <row r="160" spans="1:64" s="4788" customFormat="1" ht="23.25" customHeight="1">
      <c r="A160" s="2197"/>
      <c r="B160" s="2197"/>
      <c r="C160" s="2197"/>
      <c r="D160" s="2197"/>
      <c r="E160" s="5470"/>
      <c r="F160" s="5470" t="s">
        <v>91</v>
      </c>
      <c r="G160" s="5470"/>
      <c r="H160" s="5470"/>
      <c r="I160" s="5471" t="str">
        <f>S159&amp;".1"</f>
        <v>1.5.1.1</v>
      </c>
      <c r="J160" s="2197"/>
      <c r="K160" s="2197"/>
      <c r="L160" s="2198"/>
      <c r="M160" s="2208"/>
      <c r="N160" s="2208"/>
      <c r="O160" s="2208"/>
      <c r="P160" s="5473">
        <v>1</v>
      </c>
      <c r="Q160" s="2209"/>
      <c r="R160" s="2210"/>
      <c r="S160" s="2203" t="str">
        <f>$I160</f>
        <v>1.5.1.1</v>
      </c>
      <c r="T160" s="2211" t="s">
        <v>573</v>
      </c>
      <c r="U160" s="2205"/>
      <c r="V160" s="5537"/>
      <c r="W160" s="5538"/>
      <c r="X160" s="5538"/>
      <c r="Y160" s="5538"/>
      <c r="Z160" s="5538"/>
      <c r="AA160" s="5538"/>
      <c r="AB160" s="5539"/>
      <c r="AC160" s="5540"/>
      <c r="AD160" s="5541"/>
      <c r="AE160" s="5541"/>
      <c r="AF160" s="5541"/>
      <c r="AG160" s="5541"/>
      <c r="AH160" s="5541"/>
      <c r="AI160" s="5541"/>
      <c r="AJ160" s="5537"/>
      <c r="AK160" s="5538"/>
      <c r="AL160" s="5538"/>
      <c r="AM160" s="5538"/>
      <c r="AN160" s="5538"/>
      <c r="AO160" s="5538"/>
      <c r="AP160" s="5539"/>
      <c r="AQ160" s="5537"/>
      <c r="AR160" s="5538"/>
      <c r="AS160" s="5538"/>
      <c r="AT160" s="5538"/>
      <c r="AU160" s="5538"/>
      <c r="AV160" s="5538"/>
      <c r="AW160" s="5539"/>
      <c r="AX160" s="5537"/>
      <c r="AY160" s="5538"/>
      <c r="AZ160" s="5538"/>
      <c r="BA160" s="5538"/>
      <c r="BB160" s="5538"/>
      <c r="BC160" s="5538"/>
      <c r="BD160" s="5539"/>
      <c r="BE160" s="5542"/>
      <c r="BF160" s="2206" t="s">
        <v>574</v>
      </c>
      <c r="BG160" s="2129"/>
      <c r="BH160" s="2207"/>
      <c r="BI160" s="2207" t="str">
        <f t="shared" si="2"/>
        <v>Наименование признака дифференциации</v>
      </c>
      <c r="BJ160" s="2207"/>
      <c r="BK160" s="2207"/>
      <c r="BL160" s="2054">
        <v>0</v>
      </c>
    </row>
    <row r="161" spans="1:64" s="4789" customFormat="1" ht="23.25" customHeight="1">
      <c r="A161" s="2197"/>
      <c r="B161" s="2197"/>
      <c r="C161" s="2197"/>
      <c r="D161" s="2197"/>
      <c r="E161" s="5470"/>
      <c r="F161" s="5470" t="s">
        <v>91</v>
      </c>
      <c r="G161" s="5470"/>
      <c r="H161" s="5470"/>
      <c r="I161" s="5472"/>
      <c r="J161" s="5471" t="str">
        <f>I160&amp;".1"</f>
        <v>1.5.1.1.1</v>
      </c>
      <c r="K161" s="2197"/>
      <c r="L161" s="2198" t="s">
        <v>499</v>
      </c>
      <c r="M161" s="2208"/>
      <c r="N161" s="2208"/>
      <c r="O161" s="2208"/>
      <c r="P161" s="5473"/>
      <c r="Q161" s="5473">
        <v>1</v>
      </c>
      <c r="R161" s="2212"/>
      <c r="S161" s="2203" t="str">
        <f>$J161</f>
        <v>1.5.1.1.1</v>
      </c>
      <c r="T161" s="2213" t="s">
        <v>500</v>
      </c>
      <c r="U161" s="2205"/>
      <c r="V161" s="5457"/>
      <c r="W161" s="5458"/>
      <c r="X161" s="5458"/>
      <c r="Y161" s="5458"/>
      <c r="Z161" s="5458"/>
      <c r="AA161" s="5458"/>
      <c r="AB161" s="5459"/>
      <c r="AC161" s="5457" t="s">
        <v>611</v>
      </c>
      <c r="AD161" s="5458"/>
      <c r="AE161" s="5458"/>
      <c r="AF161" s="5458"/>
      <c r="AG161" s="5458"/>
      <c r="AH161" s="5458"/>
      <c r="AI161" s="5458"/>
      <c r="AJ161" s="5457"/>
      <c r="AK161" s="5458"/>
      <c r="AL161" s="5458"/>
      <c r="AM161" s="5458"/>
      <c r="AN161" s="5458"/>
      <c r="AO161" s="5458"/>
      <c r="AP161" s="5459"/>
      <c r="AQ161" s="5457"/>
      <c r="AR161" s="5458"/>
      <c r="AS161" s="5458"/>
      <c r="AT161" s="5458"/>
      <c r="AU161" s="5458"/>
      <c r="AV161" s="5458"/>
      <c r="AW161" s="5459"/>
      <c r="AX161" s="5457"/>
      <c r="AY161" s="5458"/>
      <c r="AZ161" s="5458"/>
      <c r="BA161" s="5458"/>
      <c r="BB161" s="5458"/>
      <c r="BC161" s="5458"/>
      <c r="BD161" s="5459"/>
      <c r="BE161" s="5459"/>
      <c r="BF161" s="2214" t="s">
        <v>575</v>
      </c>
      <c r="BG161" s="2129"/>
      <c r="BH161" s="2207"/>
      <c r="BI161" s="2207" t="str">
        <f t="shared" si="2"/>
        <v>Группа потребителей</v>
      </c>
      <c r="BJ161" s="2207"/>
      <c r="BK161" s="2207"/>
      <c r="BL161" s="2054">
        <v>0</v>
      </c>
    </row>
    <row r="162" spans="1:64" s="4790" customFormat="1" ht="23.25" customHeight="1">
      <c r="A162" s="2197"/>
      <c r="B162" s="2197"/>
      <c r="C162" s="2197"/>
      <c r="D162" s="2197"/>
      <c r="E162" s="5470"/>
      <c r="F162" s="5470" t="s">
        <v>91</v>
      </c>
      <c r="G162" s="5470"/>
      <c r="H162" s="5470"/>
      <c r="I162" s="5472"/>
      <c r="J162" s="5472"/>
      <c r="K162" s="5471" t="str">
        <f>J161&amp;".1"</f>
        <v>1.5.1.1.1.1</v>
      </c>
      <c r="L162" s="2198"/>
      <c r="M162" s="2208"/>
      <c r="N162" s="2208"/>
      <c r="O162" s="2208"/>
      <c r="P162" s="5473"/>
      <c r="Q162" s="5473"/>
      <c r="R162" s="2212">
        <v>1</v>
      </c>
      <c r="S162" s="2203" t="str">
        <f>$K162</f>
        <v>1.5.1.1.1.1</v>
      </c>
      <c r="T162" s="2215" t="s">
        <v>569</v>
      </c>
      <c r="U162" s="2205"/>
      <c r="V162" s="2055"/>
      <c r="W162" s="2055"/>
      <c r="X162" s="2056"/>
      <c r="Y162" s="5474"/>
      <c r="Z162" s="5338" t="s">
        <v>66</v>
      </c>
      <c r="AA162" s="5474"/>
      <c r="AB162" s="5338" t="s">
        <v>66</v>
      </c>
      <c r="AC162" s="2055">
        <v>54.98</v>
      </c>
      <c r="AD162" s="2055"/>
      <c r="AE162" s="2056"/>
      <c r="AF162" s="5474">
        <v>45658.614618055559</v>
      </c>
      <c r="AG162" s="5338" t="s">
        <v>66</v>
      </c>
      <c r="AH162" s="5476">
        <v>46022.614710648151</v>
      </c>
      <c r="AI162" s="5338" t="s">
        <v>66</v>
      </c>
      <c r="AJ162" s="2055">
        <v>54.79</v>
      </c>
      <c r="AK162" s="2055"/>
      <c r="AL162" s="2056"/>
      <c r="AM162" s="5474">
        <v>46023.633750000001</v>
      </c>
      <c r="AN162" s="5338" t="s">
        <v>66</v>
      </c>
      <c r="AO162" s="5474">
        <v>46387.633923611109</v>
      </c>
      <c r="AP162" s="5338" t="s">
        <v>66</v>
      </c>
      <c r="AQ162" s="2055">
        <v>56.33</v>
      </c>
      <c r="AR162" s="2055"/>
      <c r="AS162" s="2056"/>
      <c r="AT162" s="5474">
        <v>46388.634039351855</v>
      </c>
      <c r="AU162" s="5338" t="s">
        <v>66</v>
      </c>
      <c r="AV162" s="5474">
        <v>46752.63417824074</v>
      </c>
      <c r="AW162" s="5338" t="s">
        <v>66</v>
      </c>
      <c r="AX162" s="2055">
        <v>57.91</v>
      </c>
      <c r="AY162" s="2055"/>
      <c r="AZ162" s="2056"/>
      <c r="BA162" s="5474">
        <v>46753.634340277778</v>
      </c>
      <c r="BB162" s="5338" t="s">
        <v>66</v>
      </c>
      <c r="BC162" s="5474">
        <v>47118.634479166663</v>
      </c>
      <c r="BD162" s="5338" t="s">
        <v>66</v>
      </c>
      <c r="BE162" s="2216"/>
      <c r="BF162"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62" s="2129" t="e">
        <f ca="1">STRCHECKDATE(V163:BE163)</f>
        <v>#NAME?</v>
      </c>
      <c r="BH162" s="2207"/>
      <c r="BI162" s="2207" t="str">
        <f t="shared" si="2"/>
        <v>без НДС</v>
      </c>
      <c r="BJ162" s="2207"/>
      <c r="BK162" s="2207"/>
      <c r="BL162" s="2054">
        <v>0</v>
      </c>
    </row>
    <row r="163" spans="1:64" s="4791" customFormat="1" ht="14.25" customHeight="1">
      <c r="A163" s="2197"/>
      <c r="B163" s="2197"/>
      <c r="C163" s="2197"/>
      <c r="D163" s="2197"/>
      <c r="E163" s="5470"/>
      <c r="F163" s="5470" t="s">
        <v>91</v>
      </c>
      <c r="G163" s="5470"/>
      <c r="H163" s="5470"/>
      <c r="I163" s="5472"/>
      <c r="J163" s="5472"/>
      <c r="K163" s="5471"/>
      <c r="L163" s="2198"/>
      <c r="M163" s="2208"/>
      <c r="N163" s="2208"/>
      <c r="O163" s="2208"/>
      <c r="P163" s="5473"/>
      <c r="Q163" s="5473"/>
      <c r="R163" s="2212"/>
      <c r="S163" s="2217"/>
      <c r="T163" s="2205"/>
      <c r="U163" s="2205"/>
      <c r="V163" s="2057"/>
      <c r="W163" s="2057"/>
      <c r="X163" s="2058" t="str">
        <f>Y162&amp;"-"&amp;AA162</f>
        <v>-</v>
      </c>
      <c r="Y163" s="5475"/>
      <c r="Z163" s="5338"/>
      <c r="AA163" s="5475"/>
      <c r="AB163" s="5338"/>
      <c r="AC163" s="2057"/>
      <c r="AD163" s="2057"/>
      <c r="AE163" s="2058" t="str">
        <f>AF162&amp;"-"&amp;AH162</f>
        <v>45658,6146180556-46022,6147106482</v>
      </c>
      <c r="AF163" s="5475"/>
      <c r="AG163" s="5338"/>
      <c r="AH163" s="5477"/>
      <c r="AI163" s="5338"/>
      <c r="AJ163" s="2057"/>
      <c r="AK163" s="2057"/>
      <c r="AL163" s="2058" t="str">
        <f>AM162&amp;"-"&amp;AO162</f>
        <v>46023,63375-46387,6339236111</v>
      </c>
      <c r="AM163" s="5475"/>
      <c r="AN163" s="5338"/>
      <c r="AO163" s="5475"/>
      <c r="AP163" s="5338"/>
      <c r="AQ163" s="2057"/>
      <c r="AR163" s="2057"/>
      <c r="AS163" s="2058" t="str">
        <f>AT162&amp;"-"&amp;AV162</f>
        <v>46388,6340393519-46752,6341782407</v>
      </c>
      <c r="AT163" s="5475"/>
      <c r="AU163" s="5338"/>
      <c r="AV163" s="5475"/>
      <c r="AW163" s="5338"/>
      <c r="AX163" s="2057"/>
      <c r="AY163" s="2057"/>
      <c r="AZ163" s="2058" t="str">
        <f>BA162&amp;"-"&amp;BC162</f>
        <v>46753,6343402778-47118,6344791667</v>
      </c>
      <c r="BA163" s="5475"/>
      <c r="BB163" s="5338"/>
      <c r="BC163" s="5475"/>
      <c r="BD163" s="5338"/>
      <c r="BE163" s="2218"/>
      <c r="BF163" s="5543"/>
      <c r="BG163" s="2129"/>
      <c r="BH163" s="2207"/>
      <c r="BI163" s="2207" t="str">
        <f t="shared" si="2"/>
        <v/>
      </c>
      <c r="BJ163" s="2207"/>
      <c r="BK163" s="2207"/>
      <c r="BL163" s="2054">
        <v>0</v>
      </c>
    </row>
    <row r="164" spans="1:64" s="4792" customFormat="1" ht="21" customHeight="1">
      <c r="A164" s="2197"/>
      <c r="B164" s="2197"/>
      <c r="C164" s="2197"/>
      <c r="D164" s="2197"/>
      <c r="E164" s="5470"/>
      <c r="F164" s="5470" t="s">
        <v>91</v>
      </c>
      <c r="G164" s="5470"/>
      <c r="H164" s="5470"/>
      <c r="I164" s="5472"/>
      <c r="J164" s="5471"/>
      <c r="K164" s="2197"/>
      <c r="L164" s="2198"/>
      <c r="M164" s="2208"/>
      <c r="N164" s="2208"/>
      <c r="O164" s="2208"/>
      <c r="P164" s="5473"/>
      <c r="Q164" s="5473"/>
      <c r="R164" s="2210"/>
      <c r="S164" s="3183"/>
      <c r="T164" s="3184" t="s">
        <v>576</v>
      </c>
      <c r="U164" s="3185"/>
      <c r="V164" s="3186"/>
      <c r="W164" s="3187"/>
      <c r="X164" s="3188"/>
      <c r="Y164" s="3189"/>
      <c r="Z164" s="3190"/>
      <c r="AA164" s="3191"/>
      <c r="AB164" s="3192"/>
      <c r="AC164" s="3193"/>
      <c r="AD164" s="3194"/>
      <c r="AE164" s="3195"/>
      <c r="AF164" s="3196"/>
      <c r="AG164" s="3197"/>
      <c r="AH164" s="3198"/>
      <c r="AI164" s="3199"/>
      <c r="AJ164" s="3200"/>
      <c r="AK164" s="3201"/>
      <c r="AL164" s="3202"/>
      <c r="AM164" s="3203"/>
      <c r="AN164" s="3204"/>
      <c r="AO164" s="3205"/>
      <c r="AP164" s="3206"/>
      <c r="AQ164" s="3207"/>
      <c r="AR164" s="3208"/>
      <c r="AS164" s="3209"/>
      <c r="AT164" s="3210"/>
      <c r="AU164" s="3211"/>
      <c r="AV164" s="3212"/>
      <c r="AW164" s="3213"/>
      <c r="AX164" s="3214"/>
      <c r="AY164" s="3215"/>
      <c r="AZ164" s="3216"/>
      <c r="BA164" s="3217"/>
      <c r="BB164" s="3218"/>
      <c r="BC164" s="3219"/>
      <c r="BD164" s="3220"/>
      <c r="BE164" s="3221"/>
      <c r="BF164" s="2206" t="s">
        <v>577</v>
      </c>
      <c r="BG164" s="2129"/>
      <c r="BH164" s="2207"/>
      <c r="BI164" s="2207" t="str">
        <f t="shared" si="2"/>
        <v>Добавить значение признака дифференциации</v>
      </c>
      <c r="BJ164" s="2207"/>
      <c r="BK164" s="2207"/>
      <c r="BL164" s="2054">
        <v>0</v>
      </c>
    </row>
    <row r="165" spans="1:64" s="4793" customFormat="1" ht="23.25" customHeight="1">
      <c r="A165" s="4309"/>
      <c r="B165" s="4309"/>
      <c r="C165" s="4309"/>
      <c r="D165" s="4309"/>
      <c r="E165" s="5470"/>
      <c r="F165" s="5470"/>
      <c r="G165" s="5470"/>
      <c r="H165" s="5470"/>
      <c r="I165" s="5472"/>
      <c r="J165" s="5471" t="str">
        <f>I160&amp;".2"</f>
        <v>1.5.1.1.2</v>
      </c>
      <c r="K165" s="4309"/>
      <c r="L165" s="4310" t="s">
        <v>499</v>
      </c>
      <c r="M165" s="4311"/>
      <c r="N165" s="4311"/>
      <c r="O165" s="4311"/>
      <c r="P165" s="5473"/>
      <c r="Q165" s="5553" t="s">
        <v>104</v>
      </c>
      <c r="R165" s="4312"/>
      <c r="S165" s="4313" t="str">
        <f>$J165</f>
        <v>1.5.1.1.2</v>
      </c>
      <c r="T165" s="4314" t="s">
        <v>500</v>
      </c>
      <c r="U165" s="4315"/>
      <c r="V165" s="5457"/>
      <c r="W165" s="5458"/>
      <c r="X165" s="5458"/>
      <c r="Y165" s="5458"/>
      <c r="Z165" s="5458"/>
      <c r="AA165" s="5458"/>
      <c r="AB165" s="5459"/>
      <c r="AC165" s="5457" t="s">
        <v>612</v>
      </c>
      <c r="AD165" s="5458"/>
      <c r="AE165" s="5458"/>
      <c r="AF165" s="5458"/>
      <c r="AG165" s="5458"/>
      <c r="AH165" s="5458"/>
      <c r="AI165" s="5458"/>
      <c r="AJ165" s="5457"/>
      <c r="AK165" s="5458"/>
      <c r="AL165" s="5458"/>
      <c r="AM165" s="5458"/>
      <c r="AN165" s="5458"/>
      <c r="AO165" s="5458"/>
      <c r="AP165" s="5459"/>
      <c r="AQ165" s="5457"/>
      <c r="AR165" s="5458"/>
      <c r="AS165" s="5458"/>
      <c r="AT165" s="5458"/>
      <c r="AU165" s="5458"/>
      <c r="AV165" s="5458"/>
      <c r="AW165" s="5459"/>
      <c r="AX165" s="5457"/>
      <c r="AY165" s="5458"/>
      <c r="AZ165" s="5458"/>
      <c r="BA165" s="5458"/>
      <c r="BB165" s="5458"/>
      <c r="BC165" s="5458"/>
      <c r="BD165" s="5554"/>
      <c r="BE165" s="5459"/>
      <c r="BF165" s="4316" t="s">
        <v>575</v>
      </c>
      <c r="BG165" s="4317"/>
      <c r="BH165" s="4318"/>
      <c r="BI165" s="4318" t="str">
        <f t="shared" si="2"/>
        <v>Группа потребителей</v>
      </c>
      <c r="BJ165" s="4318"/>
      <c r="BK165" s="4318"/>
      <c r="BL165" s="4319">
        <v>0</v>
      </c>
    </row>
    <row r="166" spans="1:64" s="4794" customFormat="1" ht="23.25" customHeight="1">
      <c r="A166" s="4309"/>
      <c r="B166" s="4309"/>
      <c r="C166" s="4309"/>
      <c r="D166" s="4309"/>
      <c r="E166" s="5470"/>
      <c r="F166" s="5470"/>
      <c r="G166" s="5470"/>
      <c r="H166" s="5470"/>
      <c r="I166" s="5472"/>
      <c r="J166" s="5472" t="str">
        <f>I160&amp;".1"</f>
        <v>1.5.1.1.1</v>
      </c>
      <c r="K166" s="5471" t="str">
        <f>J165&amp;".1"</f>
        <v>1.5.1.1.2.1</v>
      </c>
      <c r="L166" s="4310"/>
      <c r="M166" s="4311"/>
      <c r="N166" s="4311"/>
      <c r="O166" s="4311"/>
      <c r="P166" s="5473"/>
      <c r="Q166" s="5473"/>
      <c r="R166" s="4312">
        <v>1</v>
      </c>
      <c r="S166" s="4313" t="str">
        <f>$K166</f>
        <v>1.5.1.1.2.1</v>
      </c>
      <c r="T166" s="4321" t="s">
        <v>568</v>
      </c>
      <c r="U166" s="4315"/>
      <c r="V166" s="4322"/>
      <c r="W166" s="4322"/>
      <c r="X166" s="4323"/>
      <c r="Y166" s="5474"/>
      <c r="Z166" s="5338" t="s">
        <v>66</v>
      </c>
      <c r="AA166" s="5474"/>
      <c r="AB166" s="5338" t="s">
        <v>66</v>
      </c>
      <c r="AC166" s="4322">
        <v>65.98</v>
      </c>
      <c r="AD166" s="4322"/>
      <c r="AE166" s="4323"/>
      <c r="AF166" s="5474">
        <v>45658.668182870373</v>
      </c>
      <c r="AG166" s="5338" t="s">
        <v>66</v>
      </c>
      <c r="AH166" s="5476">
        <v>46022.668217592596</v>
      </c>
      <c r="AI166" s="5338" t="s">
        <v>66</v>
      </c>
      <c r="AJ166" s="4322">
        <v>65.75</v>
      </c>
      <c r="AK166" s="4322"/>
      <c r="AL166" s="4323"/>
      <c r="AM166" s="5474">
        <v>46023.668587962966</v>
      </c>
      <c r="AN166" s="5338" t="s">
        <v>66</v>
      </c>
      <c r="AO166" s="5474">
        <v>46387.668657407405</v>
      </c>
      <c r="AP166" s="5338" t="s">
        <v>66</v>
      </c>
      <c r="AQ166" s="4322">
        <v>67.599999999999994</v>
      </c>
      <c r="AR166" s="4322"/>
      <c r="AS166" s="4323"/>
      <c r="AT166" s="5474">
        <v>46388.668993055559</v>
      </c>
      <c r="AU166" s="5338" t="s">
        <v>66</v>
      </c>
      <c r="AV166" s="5474">
        <v>46752.669062499997</v>
      </c>
      <c r="AW166" s="5338" t="s">
        <v>66</v>
      </c>
      <c r="AX166" s="4322">
        <v>69.489999999999995</v>
      </c>
      <c r="AY166" s="4322"/>
      <c r="AZ166" s="4323"/>
      <c r="BA166" s="5474">
        <v>46753.669189814813</v>
      </c>
      <c r="BB166" s="5338" t="s">
        <v>66</v>
      </c>
      <c r="BC166" s="5474">
        <v>47118.669247685182</v>
      </c>
      <c r="BD166" s="5555" t="s">
        <v>66</v>
      </c>
      <c r="BE166" s="4324"/>
      <c r="BF16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66" s="4317" t="e">
        <f ca="1">STRCHECKDATE(V167:BE167)</f>
        <v>#NAME?</v>
      </c>
      <c r="BH166" s="4318"/>
      <c r="BI166" s="4318" t="str">
        <f t="shared" si="2"/>
        <v>с НДС</v>
      </c>
      <c r="BJ166" s="4318"/>
      <c r="BK166" s="4318"/>
      <c r="BL166" s="4319">
        <v>0</v>
      </c>
    </row>
    <row r="167" spans="1:64" s="4795" customFormat="1" ht="14.25" customHeight="1">
      <c r="A167" s="4309"/>
      <c r="B167" s="4309"/>
      <c r="C167" s="4309"/>
      <c r="D167" s="4309"/>
      <c r="E167" s="5470"/>
      <c r="F167" s="5470"/>
      <c r="G167" s="5470"/>
      <c r="H167" s="5470"/>
      <c r="I167" s="5472"/>
      <c r="J167" s="5472" t="str">
        <f>I160&amp;".1"</f>
        <v>1.5.1.1.1</v>
      </c>
      <c r="K167" s="5471"/>
      <c r="L167" s="4310"/>
      <c r="M167" s="4311"/>
      <c r="N167" s="4311"/>
      <c r="O167" s="4311"/>
      <c r="P167" s="5473"/>
      <c r="Q167" s="5473"/>
      <c r="R167" s="4312"/>
      <c r="S167" s="4326"/>
      <c r="T167" s="4315"/>
      <c r="U167" s="4315"/>
      <c r="V167" s="4327"/>
      <c r="W167" s="4327"/>
      <c r="X167" s="4328" t="str">
        <f>Y166&amp;"-"&amp;AA166</f>
        <v>-</v>
      </c>
      <c r="Y167" s="5475"/>
      <c r="Z167" s="5338"/>
      <c r="AA167" s="5475"/>
      <c r="AB167" s="5338"/>
      <c r="AC167" s="4327"/>
      <c r="AD167" s="4327"/>
      <c r="AE167" s="4328" t="str">
        <f>AF166&amp;"-"&amp;AH166</f>
        <v>45658,6681828703-46022,6682175926</v>
      </c>
      <c r="AF167" s="5475"/>
      <c r="AG167" s="5338"/>
      <c r="AH167" s="5477"/>
      <c r="AI167" s="5338"/>
      <c r="AJ167" s="4327"/>
      <c r="AK167" s="4327"/>
      <c r="AL167" s="4328" t="str">
        <f>AM166&amp;"-"&amp;AO166</f>
        <v>46023,668587963-46387,6686574074</v>
      </c>
      <c r="AM167" s="5475"/>
      <c r="AN167" s="5338"/>
      <c r="AO167" s="5475"/>
      <c r="AP167" s="5338"/>
      <c r="AQ167" s="4327"/>
      <c r="AR167" s="4327"/>
      <c r="AS167" s="4328" t="str">
        <f>AT166&amp;"-"&amp;AV166</f>
        <v>46388,6689930556-46752,6690625</v>
      </c>
      <c r="AT167" s="5475"/>
      <c r="AU167" s="5338"/>
      <c r="AV167" s="5475"/>
      <c r="AW167" s="5338"/>
      <c r="AX167" s="4327"/>
      <c r="AY167" s="4327"/>
      <c r="AZ167" s="4328" t="str">
        <f>BA166&amp;"-"&amp;BC166</f>
        <v>46753,6691898148-47118,6692476852</v>
      </c>
      <c r="BA167" s="5475"/>
      <c r="BB167" s="5338"/>
      <c r="BC167" s="5475"/>
      <c r="BD167" s="5555"/>
      <c r="BE167" s="4329"/>
      <c r="BF167" s="5543"/>
      <c r="BG167" s="4317"/>
      <c r="BH167" s="4318"/>
      <c r="BI167" s="4318" t="str">
        <f t="shared" si="2"/>
        <v/>
      </c>
      <c r="BJ167" s="4318"/>
      <c r="BK167" s="4318"/>
      <c r="BL167" s="4319">
        <v>0</v>
      </c>
    </row>
    <row r="168" spans="1:64" s="4796" customFormat="1" ht="21" customHeight="1">
      <c r="A168" s="4309"/>
      <c r="B168" s="4309"/>
      <c r="C168" s="4309"/>
      <c r="D168" s="4309"/>
      <c r="E168" s="5470"/>
      <c r="F168" s="5470"/>
      <c r="G168" s="5470"/>
      <c r="H168" s="5470"/>
      <c r="I168" s="5472"/>
      <c r="J168" s="5471" t="str">
        <f>I160&amp;".1"</f>
        <v>1.5.1.1.1</v>
      </c>
      <c r="K168" s="4309"/>
      <c r="L168" s="4310"/>
      <c r="M168" s="4311"/>
      <c r="N168" s="4311"/>
      <c r="O168" s="4311"/>
      <c r="P168" s="5473"/>
      <c r="Q168" s="5473"/>
      <c r="R168" s="4331"/>
      <c r="S168" s="4797"/>
      <c r="T168" s="4798" t="s">
        <v>576</v>
      </c>
      <c r="U168" s="4799"/>
      <c r="V168" s="4800"/>
      <c r="W168" s="4801"/>
      <c r="X168" s="4802"/>
      <c r="Y168" s="4803"/>
      <c r="Z168" s="4804"/>
      <c r="AA168" s="4805"/>
      <c r="AB168" s="4806"/>
      <c r="AC168" s="4807"/>
      <c r="AD168" s="4808"/>
      <c r="AE168" s="4809"/>
      <c r="AF168" s="4810"/>
      <c r="AG168" s="4811"/>
      <c r="AH168" s="4812"/>
      <c r="AI168" s="4813"/>
      <c r="AJ168" s="4814"/>
      <c r="AK168" s="4815"/>
      <c r="AL168" s="4816"/>
      <c r="AM168" s="4817"/>
      <c r="AN168" s="4818"/>
      <c r="AO168" s="4819"/>
      <c r="AP168" s="4820"/>
      <c r="AQ168" s="4821"/>
      <c r="AR168" s="4822"/>
      <c r="AS168" s="4823"/>
      <c r="AT168" s="4824"/>
      <c r="AU168" s="4825"/>
      <c r="AV168" s="4826"/>
      <c r="AW168" s="4827"/>
      <c r="AX168" s="4828"/>
      <c r="AY168" s="4829"/>
      <c r="AZ168" s="4830"/>
      <c r="BA168" s="4831"/>
      <c r="BB168" s="4832"/>
      <c r="BC168" s="4833"/>
      <c r="BD168" s="4834"/>
      <c r="BE168" s="4835"/>
      <c r="BF168" s="4371" t="s">
        <v>577</v>
      </c>
      <c r="BG168" s="4317"/>
      <c r="BH168" s="4318"/>
      <c r="BI168" s="4318" t="str">
        <f t="shared" si="2"/>
        <v>Добавить значение признака дифференциации</v>
      </c>
      <c r="BJ168" s="4318"/>
      <c r="BK168" s="4318"/>
      <c r="BL168" s="4319">
        <v>0</v>
      </c>
    </row>
    <row r="169" spans="1:64" s="4836" customFormat="1" ht="21" customHeight="1">
      <c r="A169" s="2197"/>
      <c r="B169" s="2197"/>
      <c r="C169" s="2197"/>
      <c r="D169" s="2197"/>
      <c r="E169" s="5470"/>
      <c r="F169" s="5470" t="s">
        <v>91</v>
      </c>
      <c r="G169" s="5470"/>
      <c r="H169" s="5470"/>
      <c r="I169" s="5471"/>
      <c r="J169" s="2197"/>
      <c r="K169" s="2197"/>
      <c r="L169" s="2198"/>
      <c r="M169" s="2208"/>
      <c r="N169" s="2208"/>
      <c r="O169" s="2208"/>
      <c r="P169" s="5473"/>
      <c r="Q169" s="2209"/>
      <c r="R169" s="2210"/>
      <c r="S169" s="3222"/>
      <c r="T169" s="3223" t="s">
        <v>505</v>
      </c>
      <c r="U169" s="3224"/>
      <c r="V169" s="3225"/>
      <c r="W169" s="3226"/>
      <c r="X169" s="3227"/>
      <c r="Y169" s="3228"/>
      <c r="Z169" s="3229"/>
      <c r="AA169" s="3230"/>
      <c r="AB169" s="3231"/>
      <c r="AC169" s="3232"/>
      <c r="AD169" s="3233"/>
      <c r="AE169" s="3234"/>
      <c r="AF169" s="3235"/>
      <c r="AG169" s="3236"/>
      <c r="AH169" s="3237"/>
      <c r="AI169" s="3238"/>
      <c r="AJ169" s="3239"/>
      <c r="AK169" s="3240"/>
      <c r="AL169" s="3241"/>
      <c r="AM169" s="3242"/>
      <c r="AN169" s="3243"/>
      <c r="AO169" s="3244"/>
      <c r="AP169" s="3245"/>
      <c r="AQ169" s="3246"/>
      <c r="AR169" s="3247"/>
      <c r="AS169" s="3248"/>
      <c r="AT169" s="3249"/>
      <c r="AU169" s="3250"/>
      <c r="AV169" s="3251"/>
      <c r="AW169" s="3252"/>
      <c r="AX169" s="3253"/>
      <c r="AY169" s="3254"/>
      <c r="AZ169" s="3255"/>
      <c r="BA169" s="3256"/>
      <c r="BB169" s="3257"/>
      <c r="BC169" s="3258"/>
      <c r="BD169" s="3259"/>
      <c r="BE169" s="3260"/>
      <c r="BF169" s="3261"/>
      <c r="BG169" s="2129"/>
      <c r="BH169" s="2207"/>
      <c r="BI169" s="2207" t="str">
        <f t="shared" ref="BI169:BI232" si="3">IF(T169="","",T169)</f>
        <v>Добавить группу потребителей</v>
      </c>
      <c r="BJ169" s="2207"/>
      <c r="BK169" s="2207"/>
      <c r="BL169" s="2054">
        <v>0</v>
      </c>
    </row>
    <row r="170" spans="1:64" s="4837" customFormat="1" ht="21" customHeight="1">
      <c r="A170" s="2197"/>
      <c r="B170" s="2197"/>
      <c r="C170" s="2197"/>
      <c r="D170" s="2197"/>
      <c r="E170" s="5470"/>
      <c r="F170" s="5470" t="s">
        <v>91</v>
      </c>
      <c r="G170" s="5470"/>
      <c r="H170" s="5469"/>
      <c r="I170" s="2197"/>
      <c r="J170" s="2197"/>
      <c r="K170" s="2197"/>
      <c r="L170" s="2198"/>
      <c r="M170" s="2199"/>
      <c r="N170" s="2199"/>
      <c r="O170" s="2123"/>
      <c r="P170" s="2298"/>
      <c r="Q170" s="2299"/>
      <c r="R170" s="2300"/>
      <c r="S170" s="3262"/>
      <c r="T170" s="3263" t="s">
        <v>578</v>
      </c>
      <c r="U170" s="3264"/>
      <c r="V170" s="3265"/>
      <c r="W170" s="3266"/>
      <c r="X170" s="3267"/>
      <c r="Y170" s="3268"/>
      <c r="Z170" s="3269"/>
      <c r="AA170" s="3270"/>
      <c r="AB170" s="3271"/>
      <c r="AC170" s="3272"/>
      <c r="AD170" s="3273"/>
      <c r="AE170" s="3274"/>
      <c r="AF170" s="3275"/>
      <c r="AG170" s="3276"/>
      <c r="AH170" s="3277"/>
      <c r="AI170" s="3278"/>
      <c r="AJ170" s="3279"/>
      <c r="AK170" s="3280"/>
      <c r="AL170" s="3281"/>
      <c r="AM170" s="3282"/>
      <c r="AN170" s="3283"/>
      <c r="AO170" s="3284"/>
      <c r="AP170" s="3285"/>
      <c r="AQ170" s="3286"/>
      <c r="AR170" s="3287"/>
      <c r="AS170" s="3288"/>
      <c r="AT170" s="3289"/>
      <c r="AU170" s="3290"/>
      <c r="AV170" s="3291"/>
      <c r="AW170" s="3292"/>
      <c r="AX170" s="3293"/>
      <c r="AY170" s="3294"/>
      <c r="AZ170" s="3295"/>
      <c r="BA170" s="3296"/>
      <c r="BB170" s="3297"/>
      <c r="BC170" s="3298"/>
      <c r="BD170" s="3299"/>
      <c r="BE170" s="3300"/>
      <c r="BF170" s="3301"/>
      <c r="BG170" s="2129"/>
      <c r="BH170" s="2207"/>
      <c r="BI170" s="2207" t="str">
        <f t="shared" si="3"/>
        <v>Добавить наименование признака дифференциации</v>
      </c>
      <c r="BJ170" s="2207"/>
      <c r="BK170" s="2207"/>
      <c r="BL170" s="2054">
        <v>0</v>
      </c>
    </row>
    <row r="171" spans="1:64" s="4838" customFormat="1" ht="14.25" customHeight="1">
      <c r="A171" s="2938"/>
      <c r="B171" s="2938"/>
      <c r="C171" s="2938"/>
      <c r="D171" s="2938"/>
      <c r="E171" s="5470"/>
      <c r="F171" s="5469" t="s">
        <v>91</v>
      </c>
      <c r="G171" s="2938"/>
      <c r="H171" s="2938"/>
      <c r="I171" s="2938"/>
      <c r="J171" s="2938"/>
      <c r="K171" s="2938"/>
      <c r="L171" s="2939"/>
      <c r="M171" s="2940"/>
      <c r="N171" s="2940"/>
      <c r="O171" s="2129"/>
      <c r="P171" s="2941"/>
      <c r="Q171" s="2942"/>
      <c r="R171" s="2941"/>
      <c r="S171" s="2943"/>
      <c r="T171" s="2944" t="s">
        <v>312</v>
      </c>
      <c r="U171" s="2122"/>
      <c r="V171" s="2122"/>
      <c r="W171" s="2122"/>
      <c r="X171" s="2122"/>
      <c r="Y171" s="2122"/>
      <c r="Z171" s="2122"/>
      <c r="AA171" s="2122"/>
      <c r="AB171" s="2122"/>
      <c r="AC171" s="2122"/>
      <c r="AD171" s="2122"/>
      <c r="AE171" s="2122"/>
      <c r="AF171" s="2122"/>
      <c r="AG171" s="2122"/>
      <c r="AH171" s="2122"/>
      <c r="AI171" s="2122"/>
      <c r="AJ171" s="2122"/>
      <c r="AK171" s="2122"/>
      <c r="AL171" s="2122"/>
      <c r="AM171" s="2122"/>
      <c r="AN171" s="2122"/>
      <c r="AO171" s="2122"/>
      <c r="AP171" s="2122"/>
      <c r="AQ171" s="2122"/>
      <c r="AR171" s="2122"/>
      <c r="AS171" s="2122"/>
      <c r="AT171" s="2122"/>
      <c r="AU171" s="2122"/>
      <c r="AV171" s="2122"/>
      <c r="AW171" s="2122"/>
      <c r="AX171" s="2122"/>
      <c r="AY171" s="2122"/>
      <c r="AZ171" s="2122"/>
      <c r="BA171" s="2122"/>
      <c r="BB171" s="2122"/>
      <c r="BC171" s="2122"/>
      <c r="BD171" s="2122"/>
      <c r="BE171" s="2122"/>
      <c r="BF171" s="2122"/>
      <c r="BG171" s="2129"/>
      <c r="BH171" s="2207"/>
      <c r="BI171" s="2207" t="str">
        <f t="shared" si="3"/>
        <v>Добавить централизованную систему для дифференциации</v>
      </c>
      <c r="BJ171" s="2207"/>
      <c r="BK171" s="2207"/>
      <c r="BL171" s="2129">
        <v>0</v>
      </c>
    </row>
    <row r="172" spans="1:64" s="4839" customFormat="1" ht="23.25" customHeight="1">
      <c r="A172" s="2197"/>
      <c r="B172" s="2197" t="s">
        <v>333</v>
      </c>
      <c r="C172" s="2197"/>
      <c r="D172" s="2197"/>
      <c r="E172" s="5470"/>
      <c r="F172" s="5469" t="s">
        <v>92</v>
      </c>
      <c r="G172" s="2197"/>
      <c r="H172" s="2197"/>
      <c r="I172" s="2197"/>
      <c r="J172" s="2197"/>
      <c r="K172" s="2197"/>
      <c r="L172" s="2198"/>
      <c r="M172" s="2199"/>
      <c r="N172" s="2199"/>
      <c r="O172" s="2199"/>
      <c r="P172" s="2698"/>
      <c r="Q172" s="2201"/>
      <c r="R172" s="2202"/>
      <c r="S172" s="2203" t="str">
        <f>INDEX(PT_DIFFERENTIATION_NUM_TER,MATCH(B172,PT_DIFFERENTIATION_TER_ID,0))</f>
        <v>1.6</v>
      </c>
      <c r="T172" s="2699" t="s">
        <v>490</v>
      </c>
      <c r="U172" s="2205"/>
      <c r="V172" s="5463"/>
      <c r="W172" s="5464"/>
      <c r="X172" s="5464"/>
      <c r="Y172" s="5464"/>
      <c r="Z172" s="5464"/>
      <c r="AA172" s="5464"/>
      <c r="AB172" s="5465"/>
      <c r="AC172" s="5463" t="str">
        <f>INDEX(PT_DIFFERENTIATION_TER,MATCH(B172,PT_DIFFERENTIATION_TER_ID,0))</f>
        <v>Территория 6</v>
      </c>
      <c r="AD172" s="5464"/>
      <c r="AE172" s="5464"/>
      <c r="AF172" s="5464"/>
      <c r="AG172" s="5464"/>
      <c r="AH172" s="5464"/>
      <c r="AI172" s="5464"/>
      <c r="AJ172" s="5463"/>
      <c r="AK172" s="5464"/>
      <c r="AL172" s="5464"/>
      <c r="AM172" s="5464"/>
      <c r="AN172" s="5464"/>
      <c r="AO172" s="5464"/>
      <c r="AP172" s="5465"/>
      <c r="AQ172" s="5463"/>
      <c r="AR172" s="5464"/>
      <c r="AS172" s="5464"/>
      <c r="AT172" s="5464"/>
      <c r="AU172" s="5464"/>
      <c r="AV172" s="5464"/>
      <c r="AW172" s="5465"/>
      <c r="AX172" s="5463"/>
      <c r="AY172" s="5464"/>
      <c r="AZ172" s="5464"/>
      <c r="BA172" s="5464"/>
      <c r="BB172" s="5464"/>
      <c r="BC172" s="5464"/>
      <c r="BD172" s="5465"/>
      <c r="BE172" s="5465"/>
      <c r="BF172" s="2206" t="s">
        <v>491</v>
      </c>
      <c r="BG172" s="2129"/>
      <c r="BH172" s="2207"/>
      <c r="BI172" s="2207" t="str">
        <f t="shared" si="3"/>
        <v>Территория действия тарифа</v>
      </c>
      <c r="BJ172" s="2207"/>
      <c r="BK172" s="2207"/>
      <c r="BL172" s="2054">
        <v>0</v>
      </c>
    </row>
    <row r="173" spans="1:64" s="4840" customFormat="1" ht="23.25" customHeight="1">
      <c r="A173" s="2197"/>
      <c r="B173" s="2197"/>
      <c r="C173" s="2197" t="s">
        <v>334</v>
      </c>
      <c r="D173" s="2197"/>
      <c r="E173" s="5470"/>
      <c r="F173" s="5470" t="s">
        <v>116</v>
      </c>
      <c r="G173" s="5469">
        <v>1</v>
      </c>
      <c r="H173" s="2197"/>
      <c r="I173" s="2197"/>
      <c r="J173" s="2197"/>
      <c r="K173" s="2197"/>
      <c r="L173" s="2198"/>
      <c r="M173" s="2199"/>
      <c r="N173" s="2199"/>
      <c r="O173" s="2199"/>
      <c r="P173" s="2200"/>
      <c r="Q173" s="2201"/>
      <c r="R173" s="2202"/>
      <c r="S173" s="2203" t="str">
        <f>INDEX(PT_DIFFERENTIATION_NUM_CS,MATCH(C173,PT_DIFFERENTIATION_CS_ID,0))</f>
        <v>1.6.1</v>
      </c>
      <c r="T173" s="2204" t="s">
        <v>606</v>
      </c>
      <c r="U173" s="2205"/>
      <c r="V173" s="5463"/>
      <c r="W173" s="5464"/>
      <c r="X173" s="5464"/>
      <c r="Y173" s="5464"/>
      <c r="Z173" s="5464"/>
      <c r="AA173" s="5464"/>
      <c r="AB173" s="5465"/>
      <c r="AC173" s="5463" t="str">
        <f>INDEX(PT_DIFFERENTIATION_CS,MATCH(C173,PT_DIFFERENTIATION_CS_ID,0))</f>
        <v xml:space="preserve">пгт. Путятин </v>
      </c>
      <c r="AD173" s="5464"/>
      <c r="AE173" s="5464"/>
      <c r="AF173" s="5464"/>
      <c r="AG173" s="5464"/>
      <c r="AH173" s="5464"/>
      <c r="AI173" s="5464"/>
      <c r="AJ173" s="5463"/>
      <c r="AK173" s="5464"/>
      <c r="AL173" s="5464"/>
      <c r="AM173" s="5464"/>
      <c r="AN173" s="5464"/>
      <c r="AO173" s="5464"/>
      <c r="AP173" s="5465"/>
      <c r="AQ173" s="5463"/>
      <c r="AR173" s="5464"/>
      <c r="AS173" s="5464"/>
      <c r="AT173" s="5464"/>
      <c r="AU173" s="5464"/>
      <c r="AV173" s="5464"/>
      <c r="AW173" s="5465"/>
      <c r="AX173" s="5463"/>
      <c r="AY173" s="5464"/>
      <c r="AZ173" s="5464"/>
      <c r="BA173" s="5464"/>
      <c r="BB173" s="5464"/>
      <c r="BC173" s="5464"/>
      <c r="BD173" s="5465"/>
      <c r="BE173" s="5465"/>
      <c r="BF173" s="2206" t="s">
        <v>607</v>
      </c>
      <c r="BG173" s="2129"/>
      <c r="BH173" s="2207"/>
      <c r="BI173" s="2207" t="str">
        <f t="shared" si="3"/>
        <v>Наименование централизованной системы водоотведения</v>
      </c>
      <c r="BJ173" s="2207"/>
      <c r="BK173" s="2207"/>
      <c r="BL173" s="2054">
        <v>0</v>
      </c>
    </row>
    <row r="174" spans="1:64" s="4841" customFormat="1" ht="23.25" customHeight="1">
      <c r="A174" s="2197"/>
      <c r="B174" s="2197"/>
      <c r="C174" s="2197"/>
      <c r="D174" s="2197"/>
      <c r="E174" s="5470"/>
      <c r="F174" s="5470" t="s">
        <v>116</v>
      </c>
      <c r="G174" s="5470"/>
      <c r="H174" s="5470"/>
      <c r="I174" s="5471" t="str">
        <f>S173&amp;".1"</f>
        <v>1.6.1.1</v>
      </c>
      <c r="J174" s="2197"/>
      <c r="K174" s="2197"/>
      <c r="L174" s="2198"/>
      <c r="M174" s="2208"/>
      <c r="N174" s="2208"/>
      <c r="O174" s="2208"/>
      <c r="P174" s="5473">
        <v>1</v>
      </c>
      <c r="Q174" s="2209"/>
      <c r="R174" s="2210"/>
      <c r="S174" s="2203" t="str">
        <f>$I174</f>
        <v>1.6.1.1</v>
      </c>
      <c r="T174" s="2211" t="s">
        <v>573</v>
      </c>
      <c r="U174" s="2205"/>
      <c r="V174" s="5537"/>
      <c r="W174" s="5538"/>
      <c r="X174" s="5538"/>
      <c r="Y174" s="5538"/>
      <c r="Z174" s="5538"/>
      <c r="AA174" s="5538"/>
      <c r="AB174" s="5539"/>
      <c r="AC174" s="5540"/>
      <c r="AD174" s="5541"/>
      <c r="AE174" s="5541"/>
      <c r="AF174" s="5541"/>
      <c r="AG174" s="5541"/>
      <c r="AH174" s="5541"/>
      <c r="AI174" s="5541"/>
      <c r="AJ174" s="5537"/>
      <c r="AK174" s="5538"/>
      <c r="AL174" s="5538"/>
      <c r="AM174" s="5538"/>
      <c r="AN174" s="5538"/>
      <c r="AO174" s="5538"/>
      <c r="AP174" s="5539"/>
      <c r="AQ174" s="5537"/>
      <c r="AR174" s="5538"/>
      <c r="AS174" s="5538"/>
      <c r="AT174" s="5538"/>
      <c r="AU174" s="5538"/>
      <c r="AV174" s="5538"/>
      <c r="AW174" s="5539"/>
      <c r="AX174" s="5537"/>
      <c r="AY174" s="5538"/>
      <c r="AZ174" s="5538"/>
      <c r="BA174" s="5538"/>
      <c r="BB174" s="5538"/>
      <c r="BC174" s="5538"/>
      <c r="BD174" s="5539"/>
      <c r="BE174" s="5542"/>
      <c r="BF174" s="2206" t="s">
        <v>574</v>
      </c>
      <c r="BG174" s="2129"/>
      <c r="BH174" s="2207"/>
      <c r="BI174" s="2207" t="str">
        <f t="shared" si="3"/>
        <v>Наименование признака дифференциации</v>
      </c>
      <c r="BJ174" s="2207"/>
      <c r="BK174" s="2207"/>
      <c r="BL174" s="2054">
        <v>0</v>
      </c>
    </row>
    <row r="175" spans="1:64" s="4842" customFormat="1" ht="23.25" customHeight="1">
      <c r="A175" s="2197"/>
      <c r="B175" s="2197"/>
      <c r="C175" s="2197"/>
      <c r="D175" s="2197"/>
      <c r="E175" s="5470"/>
      <c r="F175" s="5470" t="s">
        <v>116</v>
      </c>
      <c r="G175" s="5470"/>
      <c r="H175" s="5470"/>
      <c r="I175" s="5472"/>
      <c r="J175" s="5471" t="str">
        <f>I174&amp;".1"</f>
        <v>1.6.1.1.1</v>
      </c>
      <c r="K175" s="2197"/>
      <c r="L175" s="2198" t="s">
        <v>499</v>
      </c>
      <c r="M175" s="2208"/>
      <c r="N175" s="2208"/>
      <c r="O175" s="2208"/>
      <c r="P175" s="5473"/>
      <c r="Q175" s="5473">
        <v>1</v>
      </c>
      <c r="R175" s="2212"/>
      <c r="S175" s="2203" t="str">
        <f>$J175</f>
        <v>1.6.1.1.1</v>
      </c>
      <c r="T175" s="2213" t="s">
        <v>500</v>
      </c>
      <c r="U175" s="2205"/>
      <c r="V175" s="5457"/>
      <c r="W175" s="5458"/>
      <c r="X175" s="5458"/>
      <c r="Y175" s="5458"/>
      <c r="Z175" s="5458"/>
      <c r="AA175" s="5458"/>
      <c r="AB175" s="5459"/>
      <c r="AC175" s="5457" t="s">
        <v>611</v>
      </c>
      <c r="AD175" s="5458"/>
      <c r="AE175" s="5458"/>
      <c r="AF175" s="5458"/>
      <c r="AG175" s="5458"/>
      <c r="AH175" s="5458"/>
      <c r="AI175" s="5458"/>
      <c r="AJ175" s="5457"/>
      <c r="AK175" s="5458"/>
      <c r="AL175" s="5458"/>
      <c r="AM175" s="5458"/>
      <c r="AN175" s="5458"/>
      <c r="AO175" s="5458"/>
      <c r="AP175" s="5459"/>
      <c r="AQ175" s="5457"/>
      <c r="AR175" s="5458"/>
      <c r="AS175" s="5458"/>
      <c r="AT175" s="5458"/>
      <c r="AU175" s="5458"/>
      <c r="AV175" s="5458"/>
      <c r="AW175" s="5459"/>
      <c r="AX175" s="5457"/>
      <c r="AY175" s="5458"/>
      <c r="AZ175" s="5458"/>
      <c r="BA175" s="5458"/>
      <c r="BB175" s="5458"/>
      <c r="BC175" s="5458"/>
      <c r="BD175" s="5459"/>
      <c r="BE175" s="5459"/>
      <c r="BF175" s="2214" t="s">
        <v>575</v>
      </c>
      <c r="BG175" s="2129"/>
      <c r="BH175" s="2207"/>
      <c r="BI175" s="2207" t="str">
        <f t="shared" si="3"/>
        <v>Группа потребителей</v>
      </c>
      <c r="BJ175" s="2207"/>
      <c r="BK175" s="2207"/>
      <c r="BL175" s="2054">
        <v>0</v>
      </c>
    </row>
    <row r="176" spans="1:64" s="4843" customFormat="1" ht="23.25" customHeight="1">
      <c r="A176" s="2197"/>
      <c r="B176" s="2197"/>
      <c r="C176" s="2197"/>
      <c r="D176" s="2197"/>
      <c r="E176" s="5470"/>
      <c r="F176" s="5470" t="s">
        <v>116</v>
      </c>
      <c r="G176" s="5470"/>
      <c r="H176" s="5470"/>
      <c r="I176" s="5472"/>
      <c r="J176" s="5472"/>
      <c r="K176" s="5471" t="str">
        <f>J175&amp;".1"</f>
        <v>1.6.1.1.1.1</v>
      </c>
      <c r="L176" s="2198"/>
      <c r="M176" s="2208"/>
      <c r="N176" s="2208"/>
      <c r="O176" s="2208"/>
      <c r="P176" s="5473"/>
      <c r="Q176" s="5473"/>
      <c r="R176" s="2212">
        <v>1</v>
      </c>
      <c r="S176" s="2203" t="str">
        <f>$K176</f>
        <v>1.6.1.1.1.1</v>
      </c>
      <c r="T176" s="2215" t="s">
        <v>569</v>
      </c>
      <c r="U176" s="2205"/>
      <c r="V176" s="2055"/>
      <c r="W176" s="2055"/>
      <c r="X176" s="2056"/>
      <c r="Y176" s="5474"/>
      <c r="Z176" s="5338" t="s">
        <v>66</v>
      </c>
      <c r="AA176" s="5474"/>
      <c r="AB176" s="5338" t="s">
        <v>66</v>
      </c>
      <c r="AC176" s="2055">
        <v>36.78</v>
      </c>
      <c r="AD176" s="2055"/>
      <c r="AE176" s="2056"/>
      <c r="AF176" s="5474">
        <v>45658.614837962959</v>
      </c>
      <c r="AG176" s="5338" t="s">
        <v>66</v>
      </c>
      <c r="AH176" s="5476">
        <v>46022.614930555559</v>
      </c>
      <c r="AI176" s="5338" t="s">
        <v>66</v>
      </c>
      <c r="AJ176" s="2055">
        <v>34.18</v>
      </c>
      <c r="AK176" s="2055"/>
      <c r="AL176" s="2056"/>
      <c r="AM176" s="5474">
        <v>46023.63244212963</v>
      </c>
      <c r="AN176" s="5338" t="s">
        <v>66</v>
      </c>
      <c r="AO176" s="5474">
        <v>46387.6325462963</v>
      </c>
      <c r="AP176" s="5338" t="s">
        <v>66</v>
      </c>
      <c r="AQ176" s="2055">
        <v>35.19</v>
      </c>
      <c r="AR176" s="2055"/>
      <c r="AS176" s="2056"/>
      <c r="AT176" s="5474">
        <v>46388.632673611108</v>
      </c>
      <c r="AU176" s="5338" t="s">
        <v>66</v>
      </c>
      <c r="AV176" s="5474">
        <v>46752.632916666669</v>
      </c>
      <c r="AW176" s="5338" t="s">
        <v>66</v>
      </c>
      <c r="AX176" s="2055">
        <v>36.24</v>
      </c>
      <c r="AY176" s="2055"/>
      <c r="AZ176" s="2056"/>
      <c r="BA176" s="5474">
        <v>46753.633055555554</v>
      </c>
      <c r="BB176" s="5338" t="s">
        <v>66</v>
      </c>
      <c r="BC176" s="5474">
        <v>47118.633171296293</v>
      </c>
      <c r="BD176" s="5338" t="s">
        <v>66</v>
      </c>
      <c r="BE176" s="2216"/>
      <c r="BF17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76" s="2129" t="e">
        <f ca="1">STRCHECKDATE(V177:BE177)</f>
        <v>#NAME?</v>
      </c>
      <c r="BH176" s="2207"/>
      <c r="BI176" s="2207" t="str">
        <f t="shared" si="3"/>
        <v>без НДС</v>
      </c>
      <c r="BJ176" s="2207"/>
      <c r="BK176" s="2207"/>
      <c r="BL176" s="2054">
        <v>0</v>
      </c>
    </row>
    <row r="177" spans="1:64" s="4844" customFormat="1" ht="14.25" customHeight="1">
      <c r="A177" s="2197"/>
      <c r="B177" s="2197"/>
      <c r="C177" s="2197"/>
      <c r="D177" s="2197"/>
      <c r="E177" s="5470"/>
      <c r="F177" s="5470" t="s">
        <v>116</v>
      </c>
      <c r="G177" s="5470"/>
      <c r="H177" s="5470"/>
      <c r="I177" s="5472"/>
      <c r="J177" s="5472"/>
      <c r="K177" s="5471"/>
      <c r="L177" s="2198"/>
      <c r="M177" s="2208"/>
      <c r="N177" s="2208"/>
      <c r="O177" s="2208"/>
      <c r="P177" s="5473"/>
      <c r="Q177" s="5473"/>
      <c r="R177" s="2212"/>
      <c r="S177" s="2217"/>
      <c r="T177" s="2205"/>
      <c r="U177" s="2205"/>
      <c r="V177" s="2057"/>
      <c r="W177" s="2057"/>
      <c r="X177" s="2058" t="str">
        <f>Y176&amp;"-"&amp;AA176</f>
        <v>-</v>
      </c>
      <c r="Y177" s="5475"/>
      <c r="Z177" s="5338"/>
      <c r="AA177" s="5475"/>
      <c r="AB177" s="5338"/>
      <c r="AC177" s="2057"/>
      <c r="AD177" s="2057"/>
      <c r="AE177" s="2058" t="str">
        <f>AF176&amp;"-"&amp;AH176</f>
        <v>45658,614837963-46022,6149305556</v>
      </c>
      <c r="AF177" s="5475"/>
      <c r="AG177" s="5338"/>
      <c r="AH177" s="5477"/>
      <c r="AI177" s="5338"/>
      <c r="AJ177" s="2057"/>
      <c r="AK177" s="2057"/>
      <c r="AL177" s="2058" t="str">
        <f>AM176&amp;"-"&amp;AO176</f>
        <v>46023,6324421296-46387,6325462963</v>
      </c>
      <c r="AM177" s="5475"/>
      <c r="AN177" s="5338"/>
      <c r="AO177" s="5475"/>
      <c r="AP177" s="5338"/>
      <c r="AQ177" s="2057"/>
      <c r="AR177" s="2057"/>
      <c r="AS177" s="2058" t="str">
        <f>AT176&amp;"-"&amp;AV176</f>
        <v>46388,6326736111-46752,6329166667</v>
      </c>
      <c r="AT177" s="5475"/>
      <c r="AU177" s="5338"/>
      <c r="AV177" s="5475"/>
      <c r="AW177" s="5338"/>
      <c r="AX177" s="2057"/>
      <c r="AY177" s="2057"/>
      <c r="AZ177" s="2058" t="str">
        <f>BA176&amp;"-"&amp;BC176</f>
        <v>46753,6330555556-47118,6331712963</v>
      </c>
      <c r="BA177" s="5475"/>
      <c r="BB177" s="5338"/>
      <c r="BC177" s="5475"/>
      <c r="BD177" s="5338"/>
      <c r="BE177" s="2218"/>
      <c r="BF177" s="5543"/>
      <c r="BG177" s="2129"/>
      <c r="BH177" s="2207"/>
      <c r="BI177" s="2207" t="str">
        <f t="shared" si="3"/>
        <v/>
      </c>
      <c r="BJ177" s="2207"/>
      <c r="BK177" s="2207"/>
      <c r="BL177" s="2054">
        <v>0</v>
      </c>
    </row>
    <row r="178" spans="1:64" s="4845" customFormat="1" ht="21" customHeight="1">
      <c r="A178" s="2197"/>
      <c r="B178" s="2197"/>
      <c r="C178" s="2197"/>
      <c r="D178" s="2197"/>
      <c r="E178" s="5470"/>
      <c r="F178" s="5470" t="s">
        <v>116</v>
      </c>
      <c r="G178" s="5470"/>
      <c r="H178" s="5470"/>
      <c r="I178" s="5472"/>
      <c r="J178" s="5471"/>
      <c r="K178" s="2197"/>
      <c r="L178" s="2198"/>
      <c r="M178" s="2208"/>
      <c r="N178" s="2208"/>
      <c r="O178" s="2208"/>
      <c r="P178" s="5473"/>
      <c r="Q178" s="5473"/>
      <c r="R178" s="2210"/>
      <c r="S178" s="3302"/>
      <c r="T178" s="3303" t="s">
        <v>576</v>
      </c>
      <c r="U178" s="3304"/>
      <c r="V178" s="3305"/>
      <c r="W178" s="3306"/>
      <c r="X178" s="3307"/>
      <c r="Y178" s="3308"/>
      <c r="Z178" s="3309"/>
      <c r="AA178" s="3310"/>
      <c r="AB178" s="3311"/>
      <c r="AC178" s="3312"/>
      <c r="AD178" s="3313"/>
      <c r="AE178" s="3314"/>
      <c r="AF178" s="3315"/>
      <c r="AG178" s="3316"/>
      <c r="AH178" s="3317"/>
      <c r="AI178" s="3318"/>
      <c r="AJ178" s="3319"/>
      <c r="AK178" s="3320"/>
      <c r="AL178" s="3321"/>
      <c r="AM178" s="3322"/>
      <c r="AN178" s="3323"/>
      <c r="AO178" s="3324"/>
      <c r="AP178" s="3325"/>
      <c r="AQ178" s="3326"/>
      <c r="AR178" s="3327"/>
      <c r="AS178" s="3328"/>
      <c r="AT178" s="3329"/>
      <c r="AU178" s="3330"/>
      <c r="AV178" s="3331"/>
      <c r="AW178" s="3332"/>
      <c r="AX178" s="3333"/>
      <c r="AY178" s="3334"/>
      <c r="AZ178" s="3335"/>
      <c r="BA178" s="3336"/>
      <c r="BB178" s="3337"/>
      <c r="BC178" s="3338"/>
      <c r="BD178" s="3339"/>
      <c r="BE178" s="3340"/>
      <c r="BF178" s="2206" t="s">
        <v>577</v>
      </c>
      <c r="BG178" s="2129"/>
      <c r="BH178" s="2207"/>
      <c r="BI178" s="2207" t="str">
        <f t="shared" si="3"/>
        <v>Добавить значение признака дифференциации</v>
      </c>
      <c r="BJ178" s="2207"/>
      <c r="BK178" s="2207"/>
      <c r="BL178" s="2054">
        <v>0</v>
      </c>
    </row>
    <row r="179" spans="1:64" s="4846" customFormat="1" ht="23.25" customHeight="1">
      <c r="A179" s="4309"/>
      <c r="B179" s="4309"/>
      <c r="C179" s="4309"/>
      <c r="D179" s="4309"/>
      <c r="E179" s="5470"/>
      <c r="F179" s="5470"/>
      <c r="G179" s="5470"/>
      <c r="H179" s="5470"/>
      <c r="I179" s="5472"/>
      <c r="J179" s="5471" t="str">
        <f>I174&amp;".2"</f>
        <v>1.6.1.1.2</v>
      </c>
      <c r="K179" s="4309"/>
      <c r="L179" s="4310" t="s">
        <v>499</v>
      </c>
      <c r="M179" s="4311"/>
      <c r="N179" s="4311"/>
      <c r="O179" s="4311"/>
      <c r="P179" s="5473"/>
      <c r="Q179" s="5553" t="s">
        <v>104</v>
      </c>
      <c r="R179" s="4312"/>
      <c r="S179" s="4313" t="str">
        <f>$J179</f>
        <v>1.6.1.1.2</v>
      </c>
      <c r="T179" s="4314" t="s">
        <v>500</v>
      </c>
      <c r="U179" s="4315"/>
      <c r="V179" s="5457"/>
      <c r="W179" s="5458"/>
      <c r="X179" s="5458"/>
      <c r="Y179" s="5458"/>
      <c r="Z179" s="5458"/>
      <c r="AA179" s="5458"/>
      <c r="AB179" s="5459"/>
      <c r="AC179" s="5457" t="s">
        <v>612</v>
      </c>
      <c r="AD179" s="5458"/>
      <c r="AE179" s="5458"/>
      <c r="AF179" s="5458"/>
      <c r="AG179" s="5458"/>
      <c r="AH179" s="5458"/>
      <c r="AI179" s="5458"/>
      <c r="AJ179" s="5457"/>
      <c r="AK179" s="5458"/>
      <c r="AL179" s="5458"/>
      <c r="AM179" s="5458"/>
      <c r="AN179" s="5458"/>
      <c r="AO179" s="5458"/>
      <c r="AP179" s="5459"/>
      <c r="AQ179" s="5457"/>
      <c r="AR179" s="5458"/>
      <c r="AS179" s="5458"/>
      <c r="AT179" s="5458"/>
      <c r="AU179" s="5458"/>
      <c r="AV179" s="5458"/>
      <c r="AW179" s="5459"/>
      <c r="AX179" s="5457"/>
      <c r="AY179" s="5458"/>
      <c r="AZ179" s="5458"/>
      <c r="BA179" s="5458"/>
      <c r="BB179" s="5458"/>
      <c r="BC179" s="5458"/>
      <c r="BD179" s="5554"/>
      <c r="BE179" s="5459"/>
      <c r="BF179" s="4316" t="s">
        <v>575</v>
      </c>
      <c r="BG179" s="4317"/>
      <c r="BH179" s="4318"/>
      <c r="BI179" s="4318" t="str">
        <f t="shared" si="3"/>
        <v>Группа потребителей</v>
      </c>
      <c r="BJ179" s="4318"/>
      <c r="BK179" s="4318"/>
      <c r="BL179" s="4319">
        <v>0</v>
      </c>
    </row>
    <row r="180" spans="1:64" s="4847" customFormat="1" ht="23.25" customHeight="1">
      <c r="A180" s="4309"/>
      <c r="B180" s="4309"/>
      <c r="C180" s="4309"/>
      <c r="D180" s="4309"/>
      <c r="E180" s="5470"/>
      <c r="F180" s="5470"/>
      <c r="G180" s="5470"/>
      <c r="H180" s="5470"/>
      <c r="I180" s="5472"/>
      <c r="J180" s="5472" t="str">
        <f>I174&amp;".1"</f>
        <v>1.6.1.1.1</v>
      </c>
      <c r="K180" s="5471" t="str">
        <f>J179&amp;".1"</f>
        <v>1.6.1.1.2.1</v>
      </c>
      <c r="L180" s="4310"/>
      <c r="M180" s="4311"/>
      <c r="N180" s="4311"/>
      <c r="O180" s="4311"/>
      <c r="P180" s="5473"/>
      <c r="Q180" s="5473"/>
      <c r="R180" s="4312">
        <v>1</v>
      </c>
      <c r="S180" s="4313" t="str">
        <f>$K180</f>
        <v>1.6.1.1.2.1</v>
      </c>
      <c r="T180" s="4321"/>
      <c r="U180" s="4315"/>
      <c r="V180" s="4322"/>
      <c r="W180" s="4322"/>
      <c r="X180" s="4323"/>
      <c r="Y180" s="5474"/>
      <c r="Z180" s="5338" t="s">
        <v>66</v>
      </c>
      <c r="AA180" s="5474"/>
      <c r="AB180" s="5338" t="s">
        <v>66</v>
      </c>
      <c r="AC180" s="4322">
        <v>44.14</v>
      </c>
      <c r="AD180" s="4322"/>
      <c r="AE180" s="4323"/>
      <c r="AF180" s="5474">
        <v>45658.670763888891</v>
      </c>
      <c r="AG180" s="5338" t="s">
        <v>66</v>
      </c>
      <c r="AH180" s="5476">
        <v>46022.670798611114</v>
      </c>
      <c r="AI180" s="5338" t="s">
        <v>66</v>
      </c>
      <c r="AJ180" s="4322">
        <v>41.02</v>
      </c>
      <c r="AK180" s="4322"/>
      <c r="AL180" s="4323"/>
      <c r="AM180" s="5474">
        <v>46023.671307870369</v>
      </c>
      <c r="AN180" s="5338" t="s">
        <v>66</v>
      </c>
      <c r="AO180" s="5474">
        <v>46387.671377314815</v>
      </c>
      <c r="AP180" s="5338" t="s">
        <v>66</v>
      </c>
      <c r="AQ180" s="4322">
        <v>42.23</v>
      </c>
      <c r="AR180" s="4322"/>
      <c r="AS180" s="4323"/>
      <c r="AT180" s="5474">
        <v>46388.671898148146</v>
      </c>
      <c r="AU180" s="5338" t="s">
        <v>66</v>
      </c>
      <c r="AV180" s="5474">
        <v>46752.672060185185</v>
      </c>
      <c r="AW180" s="5338" t="s">
        <v>66</v>
      </c>
      <c r="AX180" s="4322">
        <v>43.49</v>
      </c>
      <c r="AY180" s="4322"/>
      <c r="AZ180" s="4323"/>
      <c r="BA180" s="5474">
        <v>46753.672372685185</v>
      </c>
      <c r="BB180" s="5338" t="s">
        <v>66</v>
      </c>
      <c r="BC180" s="5474">
        <v>47118.672442129631</v>
      </c>
      <c r="BD180" s="5555" t="s">
        <v>66</v>
      </c>
      <c r="BE180" s="4324"/>
      <c r="BF180"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80" s="4317" t="e">
        <f ca="1">STRCHECKDATE(V181:BE181)</f>
        <v>#NAME?</v>
      </c>
      <c r="BH180" s="4318"/>
      <c r="BI180" s="4318" t="str">
        <f t="shared" si="3"/>
        <v/>
      </c>
      <c r="BJ180" s="4318"/>
      <c r="BK180" s="4318"/>
      <c r="BL180" s="4319">
        <v>0</v>
      </c>
    </row>
    <row r="181" spans="1:64" s="4848" customFormat="1" ht="14.25" customHeight="1">
      <c r="A181" s="4309"/>
      <c r="B181" s="4309"/>
      <c r="C181" s="4309"/>
      <c r="D181" s="4309"/>
      <c r="E181" s="5470"/>
      <c r="F181" s="5470"/>
      <c r="G181" s="5470"/>
      <c r="H181" s="5470"/>
      <c r="I181" s="5472"/>
      <c r="J181" s="5472" t="str">
        <f>I174&amp;".1"</f>
        <v>1.6.1.1.1</v>
      </c>
      <c r="K181" s="5471"/>
      <c r="L181" s="4310"/>
      <c r="M181" s="4311"/>
      <c r="N181" s="4311"/>
      <c r="O181" s="4311"/>
      <c r="P181" s="5473"/>
      <c r="Q181" s="5473"/>
      <c r="R181" s="4312"/>
      <c r="S181" s="4326"/>
      <c r="T181" s="4315"/>
      <c r="U181" s="4315"/>
      <c r="V181" s="4327"/>
      <c r="W181" s="4327"/>
      <c r="X181" s="4328" t="str">
        <f>Y180&amp;"-"&amp;AA180</f>
        <v>-</v>
      </c>
      <c r="Y181" s="5475"/>
      <c r="Z181" s="5338"/>
      <c r="AA181" s="5475"/>
      <c r="AB181" s="5338"/>
      <c r="AC181" s="4327"/>
      <c r="AD181" s="4327"/>
      <c r="AE181" s="4328" t="str">
        <f>AF180&amp;"-"&amp;AH180</f>
        <v>45658,6707638889-46022,6707986111</v>
      </c>
      <c r="AF181" s="5475"/>
      <c r="AG181" s="5338"/>
      <c r="AH181" s="5477"/>
      <c r="AI181" s="5338"/>
      <c r="AJ181" s="4327"/>
      <c r="AK181" s="4327"/>
      <c r="AL181" s="4328" t="str">
        <f>AM180&amp;"-"&amp;AO180</f>
        <v>46023,6713078704-46387,6713773148</v>
      </c>
      <c r="AM181" s="5475"/>
      <c r="AN181" s="5338"/>
      <c r="AO181" s="5475"/>
      <c r="AP181" s="5338"/>
      <c r="AQ181" s="4327"/>
      <c r="AR181" s="4327"/>
      <c r="AS181" s="4328" t="str">
        <f>AT180&amp;"-"&amp;AV180</f>
        <v>46388,6718981481-46752,6720601852</v>
      </c>
      <c r="AT181" s="5475"/>
      <c r="AU181" s="5338"/>
      <c r="AV181" s="5475"/>
      <c r="AW181" s="5338"/>
      <c r="AX181" s="4327"/>
      <c r="AY181" s="4327"/>
      <c r="AZ181" s="4328" t="str">
        <f>BA180&amp;"-"&amp;BC180</f>
        <v>46753,6723726852-47118,6724421296</v>
      </c>
      <c r="BA181" s="5475"/>
      <c r="BB181" s="5338"/>
      <c r="BC181" s="5475"/>
      <c r="BD181" s="5555"/>
      <c r="BE181" s="4329"/>
      <c r="BF181" s="5543"/>
      <c r="BG181" s="4317"/>
      <c r="BH181" s="4318"/>
      <c r="BI181" s="4318" t="str">
        <f t="shared" si="3"/>
        <v/>
      </c>
      <c r="BJ181" s="4318"/>
      <c r="BK181" s="4318"/>
      <c r="BL181" s="4319">
        <v>0</v>
      </c>
    </row>
    <row r="182" spans="1:64" s="4849" customFormat="1" ht="21" customHeight="1">
      <c r="A182" s="4309"/>
      <c r="B182" s="4309"/>
      <c r="C182" s="4309"/>
      <c r="D182" s="4309"/>
      <c r="E182" s="5470"/>
      <c r="F182" s="5470"/>
      <c r="G182" s="5470"/>
      <c r="H182" s="5470"/>
      <c r="I182" s="5472"/>
      <c r="J182" s="5471" t="str">
        <f>I174&amp;".1"</f>
        <v>1.6.1.1.1</v>
      </c>
      <c r="K182" s="4309"/>
      <c r="L182" s="4310"/>
      <c r="M182" s="4311"/>
      <c r="N182" s="4311"/>
      <c r="O182" s="4311"/>
      <c r="P182" s="5473"/>
      <c r="Q182" s="5473"/>
      <c r="R182" s="4331"/>
      <c r="S182" s="4850"/>
      <c r="T182" s="4851" t="s">
        <v>576</v>
      </c>
      <c r="U182" s="4852"/>
      <c r="V182" s="4853"/>
      <c r="W182" s="4854"/>
      <c r="X182" s="4855"/>
      <c r="Y182" s="4856"/>
      <c r="Z182" s="4857"/>
      <c r="AA182" s="4858"/>
      <c r="AB182" s="4859"/>
      <c r="AC182" s="4860"/>
      <c r="AD182" s="4861"/>
      <c r="AE182" s="4862"/>
      <c r="AF182" s="4863"/>
      <c r="AG182" s="4864"/>
      <c r="AH182" s="4865"/>
      <c r="AI182" s="4866"/>
      <c r="AJ182" s="4867"/>
      <c r="AK182" s="4868"/>
      <c r="AL182" s="4869"/>
      <c r="AM182" s="4870"/>
      <c r="AN182" s="4871"/>
      <c r="AO182" s="4872"/>
      <c r="AP182" s="4873"/>
      <c r="AQ182" s="4874"/>
      <c r="AR182" s="4875"/>
      <c r="AS182" s="4876"/>
      <c r="AT182" s="4877"/>
      <c r="AU182" s="4878"/>
      <c r="AV182" s="4879"/>
      <c r="AW182" s="4880"/>
      <c r="AX182" s="4881"/>
      <c r="AY182" s="4882"/>
      <c r="AZ182" s="4883"/>
      <c r="BA182" s="4884"/>
      <c r="BB182" s="4885"/>
      <c r="BC182" s="4886"/>
      <c r="BD182" s="4887"/>
      <c r="BE182" s="4888"/>
      <c r="BF182" s="4371" t="s">
        <v>577</v>
      </c>
      <c r="BG182" s="4317"/>
      <c r="BH182" s="4318"/>
      <c r="BI182" s="4318" t="str">
        <f t="shared" si="3"/>
        <v>Добавить значение признака дифференциации</v>
      </c>
      <c r="BJ182" s="4318"/>
      <c r="BK182" s="4318"/>
      <c r="BL182" s="4319">
        <v>0</v>
      </c>
    </row>
    <row r="183" spans="1:64" s="4889" customFormat="1" ht="21" customHeight="1">
      <c r="A183" s="2197"/>
      <c r="B183" s="2197"/>
      <c r="C183" s="2197"/>
      <c r="D183" s="2197"/>
      <c r="E183" s="5470"/>
      <c r="F183" s="5470" t="s">
        <v>116</v>
      </c>
      <c r="G183" s="5470"/>
      <c r="H183" s="5470"/>
      <c r="I183" s="5471"/>
      <c r="J183" s="2197"/>
      <c r="K183" s="2197"/>
      <c r="L183" s="2198"/>
      <c r="M183" s="2208"/>
      <c r="N183" s="2208"/>
      <c r="O183" s="2208"/>
      <c r="P183" s="5473"/>
      <c r="Q183" s="2209"/>
      <c r="R183" s="2210"/>
      <c r="S183" s="3341"/>
      <c r="T183" s="3342" t="s">
        <v>505</v>
      </c>
      <c r="U183" s="3343"/>
      <c r="V183" s="3344"/>
      <c r="W183" s="3345"/>
      <c r="X183" s="3346"/>
      <c r="Y183" s="3347"/>
      <c r="Z183" s="3348"/>
      <c r="AA183" s="3349"/>
      <c r="AB183" s="3350"/>
      <c r="AC183" s="3351"/>
      <c r="AD183" s="3352"/>
      <c r="AE183" s="3353"/>
      <c r="AF183" s="3354"/>
      <c r="AG183" s="3355"/>
      <c r="AH183" s="3356"/>
      <c r="AI183" s="3357"/>
      <c r="AJ183" s="3358"/>
      <c r="AK183" s="3359"/>
      <c r="AL183" s="3360"/>
      <c r="AM183" s="3361"/>
      <c r="AN183" s="3362"/>
      <c r="AO183" s="3363"/>
      <c r="AP183" s="3364"/>
      <c r="AQ183" s="3365"/>
      <c r="AR183" s="3366"/>
      <c r="AS183" s="3367"/>
      <c r="AT183" s="3368"/>
      <c r="AU183" s="3369"/>
      <c r="AV183" s="3370"/>
      <c r="AW183" s="3371"/>
      <c r="AX183" s="3372"/>
      <c r="AY183" s="3373"/>
      <c r="AZ183" s="3374"/>
      <c r="BA183" s="3375"/>
      <c r="BB183" s="3376"/>
      <c r="BC183" s="3377"/>
      <c r="BD183" s="3378"/>
      <c r="BE183" s="3379"/>
      <c r="BF183" s="3380"/>
      <c r="BG183" s="2129"/>
      <c r="BH183" s="2207"/>
      <c r="BI183" s="2207" t="str">
        <f t="shared" si="3"/>
        <v>Добавить группу потребителей</v>
      </c>
      <c r="BJ183" s="2207"/>
      <c r="BK183" s="2207"/>
      <c r="BL183" s="2054">
        <v>0</v>
      </c>
    </row>
    <row r="184" spans="1:64" s="4890" customFormat="1" ht="21" customHeight="1">
      <c r="A184" s="2197"/>
      <c r="B184" s="2197"/>
      <c r="C184" s="2197"/>
      <c r="D184" s="2197"/>
      <c r="E184" s="5470"/>
      <c r="F184" s="5470" t="s">
        <v>116</v>
      </c>
      <c r="G184" s="5470"/>
      <c r="H184" s="5469"/>
      <c r="I184" s="2197"/>
      <c r="J184" s="2197"/>
      <c r="K184" s="2197"/>
      <c r="L184" s="2198"/>
      <c r="M184" s="2199"/>
      <c r="N184" s="2199"/>
      <c r="O184" s="2123"/>
      <c r="P184" s="2298"/>
      <c r="Q184" s="2299"/>
      <c r="R184" s="2300"/>
      <c r="S184" s="3381"/>
      <c r="T184" s="3382" t="s">
        <v>578</v>
      </c>
      <c r="U184" s="3383"/>
      <c r="V184" s="3384"/>
      <c r="W184" s="3385"/>
      <c r="X184" s="3386"/>
      <c r="Y184" s="3387"/>
      <c r="Z184" s="3388"/>
      <c r="AA184" s="3389"/>
      <c r="AB184" s="3390"/>
      <c r="AC184" s="3391"/>
      <c r="AD184" s="3392"/>
      <c r="AE184" s="3393"/>
      <c r="AF184" s="3394"/>
      <c r="AG184" s="3395"/>
      <c r="AH184" s="3396"/>
      <c r="AI184" s="3397"/>
      <c r="AJ184" s="3398"/>
      <c r="AK184" s="3399"/>
      <c r="AL184" s="3400"/>
      <c r="AM184" s="3401"/>
      <c r="AN184" s="3402"/>
      <c r="AO184" s="3403"/>
      <c r="AP184" s="3404"/>
      <c r="AQ184" s="3405"/>
      <c r="AR184" s="3406"/>
      <c r="AS184" s="3407"/>
      <c r="AT184" s="3408"/>
      <c r="AU184" s="3409"/>
      <c r="AV184" s="3410"/>
      <c r="AW184" s="3411"/>
      <c r="AX184" s="3412"/>
      <c r="AY184" s="3413"/>
      <c r="AZ184" s="3414"/>
      <c r="BA184" s="3415"/>
      <c r="BB184" s="3416"/>
      <c r="BC184" s="3417"/>
      <c r="BD184" s="3418"/>
      <c r="BE184" s="3419"/>
      <c r="BF184" s="3420"/>
      <c r="BG184" s="2129"/>
      <c r="BH184" s="2207"/>
      <c r="BI184" s="2207" t="str">
        <f t="shared" si="3"/>
        <v>Добавить наименование признака дифференциации</v>
      </c>
      <c r="BJ184" s="2207"/>
      <c r="BK184" s="2207"/>
      <c r="BL184" s="2054">
        <v>0</v>
      </c>
    </row>
    <row r="185" spans="1:64" s="4891" customFormat="1" ht="23.25" customHeight="1">
      <c r="A185" s="2197"/>
      <c r="B185" s="2197"/>
      <c r="C185" s="2197" t="s">
        <v>337</v>
      </c>
      <c r="D185" s="2197"/>
      <c r="E185" s="5470"/>
      <c r="F185" s="5470"/>
      <c r="G185" s="5469" t="s">
        <v>103</v>
      </c>
      <c r="H185" s="2197"/>
      <c r="I185" s="2197"/>
      <c r="J185" s="2197"/>
      <c r="K185" s="2197"/>
      <c r="L185" s="2198"/>
      <c r="M185" s="2199"/>
      <c r="N185" s="2199"/>
      <c r="O185" s="2199"/>
      <c r="P185" s="2200"/>
      <c r="Q185" s="2201"/>
      <c r="R185" s="2202"/>
      <c r="S185" s="2203" t="str">
        <f>INDEX(PT_DIFFERENTIATION_NUM_CS,MATCH(C185,PT_DIFFERENTIATION_CS_ID,0))</f>
        <v>1.6.2</v>
      </c>
      <c r="T185" s="2204" t="s">
        <v>606</v>
      </c>
      <c r="U185" s="2205"/>
      <c r="V185" s="5463"/>
      <c r="W185" s="5464"/>
      <c r="X185" s="5464"/>
      <c r="Y185" s="5464"/>
      <c r="Z185" s="5464"/>
      <c r="AA185" s="5464"/>
      <c r="AB185" s="5465"/>
      <c r="AC185" s="5463" t="str">
        <f>INDEX(PT_DIFFERENTIATION_CS,MATCH(C185,PT_DIFFERENTIATION_CS_ID,0))</f>
        <v>ЗАТО Фокино</v>
      </c>
      <c r="AD185" s="5464"/>
      <c r="AE185" s="5464"/>
      <c r="AF185" s="5464"/>
      <c r="AG185" s="5464"/>
      <c r="AH185" s="5464"/>
      <c r="AI185" s="5464"/>
      <c r="AJ185" s="5463"/>
      <c r="AK185" s="5464"/>
      <c r="AL185" s="5464"/>
      <c r="AM185" s="5464"/>
      <c r="AN185" s="5464"/>
      <c r="AO185" s="5464"/>
      <c r="AP185" s="5465"/>
      <c r="AQ185" s="5463"/>
      <c r="AR185" s="5464"/>
      <c r="AS185" s="5464"/>
      <c r="AT185" s="5464"/>
      <c r="AU185" s="5464"/>
      <c r="AV185" s="5464"/>
      <c r="AW185" s="5465"/>
      <c r="AX185" s="5463"/>
      <c r="AY185" s="5464"/>
      <c r="AZ185" s="5464"/>
      <c r="BA185" s="5464"/>
      <c r="BB185" s="5464"/>
      <c r="BC185" s="5464"/>
      <c r="BD185" s="5465"/>
      <c r="BE185" s="5465"/>
      <c r="BF185" s="2206" t="s">
        <v>607</v>
      </c>
      <c r="BG185" s="2129"/>
      <c r="BH185" s="2207"/>
      <c r="BI185" s="2207" t="str">
        <f t="shared" si="3"/>
        <v>Наименование централизованной системы водоотведения</v>
      </c>
      <c r="BJ185" s="2207"/>
      <c r="BK185" s="2207"/>
      <c r="BL185" s="2054">
        <v>0</v>
      </c>
    </row>
    <row r="186" spans="1:64" s="4892" customFormat="1" ht="23.25" customHeight="1">
      <c r="A186" s="2197"/>
      <c r="B186" s="2197"/>
      <c r="C186" s="2197"/>
      <c r="D186" s="2197"/>
      <c r="E186" s="5470"/>
      <c r="F186" s="5470"/>
      <c r="G186" s="5470">
        <v>1</v>
      </c>
      <c r="H186" s="5470"/>
      <c r="I186" s="5471" t="str">
        <f>S185&amp;".1"</f>
        <v>1.6.2.1</v>
      </c>
      <c r="J186" s="2197"/>
      <c r="K186" s="2197"/>
      <c r="L186" s="2198"/>
      <c r="M186" s="2208"/>
      <c r="N186" s="2208"/>
      <c r="O186" s="2208"/>
      <c r="P186" s="5473">
        <v>1</v>
      </c>
      <c r="Q186" s="2209"/>
      <c r="R186" s="2210"/>
      <c r="S186" s="2203" t="str">
        <f>$I186</f>
        <v>1.6.2.1</v>
      </c>
      <c r="T186" s="2211" t="s">
        <v>573</v>
      </c>
      <c r="U186" s="2205"/>
      <c r="V186" s="5537"/>
      <c r="W186" s="5538"/>
      <c r="X186" s="5538"/>
      <c r="Y186" s="5538"/>
      <c r="Z186" s="5538"/>
      <c r="AA186" s="5538"/>
      <c r="AB186" s="5539"/>
      <c r="AC186" s="5540"/>
      <c r="AD186" s="5541"/>
      <c r="AE186" s="5541"/>
      <c r="AF186" s="5541"/>
      <c r="AG186" s="5541"/>
      <c r="AH186" s="5541"/>
      <c r="AI186" s="5541"/>
      <c r="AJ186" s="5537"/>
      <c r="AK186" s="5538"/>
      <c r="AL186" s="5538"/>
      <c r="AM186" s="5538"/>
      <c r="AN186" s="5538"/>
      <c r="AO186" s="5538"/>
      <c r="AP186" s="5539"/>
      <c r="AQ186" s="5537"/>
      <c r="AR186" s="5538"/>
      <c r="AS186" s="5538"/>
      <c r="AT186" s="5538"/>
      <c r="AU186" s="5538"/>
      <c r="AV186" s="5538"/>
      <c r="AW186" s="5539"/>
      <c r="AX186" s="5537"/>
      <c r="AY186" s="5538"/>
      <c r="AZ186" s="5538"/>
      <c r="BA186" s="5538"/>
      <c r="BB186" s="5538"/>
      <c r="BC186" s="5538"/>
      <c r="BD186" s="5539"/>
      <c r="BE186" s="5542"/>
      <c r="BF186" s="2206" t="s">
        <v>574</v>
      </c>
      <c r="BG186" s="2129"/>
      <c r="BH186" s="2207"/>
      <c r="BI186" s="2207" t="str">
        <f t="shared" si="3"/>
        <v>Наименование признака дифференциации</v>
      </c>
      <c r="BJ186" s="2207"/>
      <c r="BK186" s="2207"/>
      <c r="BL186" s="2054">
        <v>0</v>
      </c>
    </row>
    <row r="187" spans="1:64" s="4893" customFormat="1" ht="23.25" customHeight="1">
      <c r="A187" s="2197"/>
      <c r="B187" s="2197"/>
      <c r="C187" s="2197"/>
      <c r="D187" s="2197"/>
      <c r="E187" s="5470"/>
      <c r="F187" s="5470"/>
      <c r="G187" s="5470">
        <v>1</v>
      </c>
      <c r="H187" s="5470"/>
      <c r="I187" s="5472"/>
      <c r="J187" s="5471" t="str">
        <f>I186&amp;".1"</f>
        <v>1.6.2.1.1</v>
      </c>
      <c r="K187" s="2197"/>
      <c r="L187" s="2198" t="s">
        <v>499</v>
      </c>
      <c r="M187" s="2208"/>
      <c r="N187" s="2208"/>
      <c r="O187" s="2208"/>
      <c r="P187" s="5473"/>
      <c r="Q187" s="5473">
        <v>1</v>
      </c>
      <c r="R187" s="2212"/>
      <c r="S187" s="2203" t="str">
        <f>$J187</f>
        <v>1.6.2.1.1</v>
      </c>
      <c r="T187" s="2213" t="s">
        <v>500</v>
      </c>
      <c r="U187" s="2205"/>
      <c r="V187" s="5457"/>
      <c r="W187" s="5458"/>
      <c r="X187" s="5458"/>
      <c r="Y187" s="5458"/>
      <c r="Z187" s="5458"/>
      <c r="AA187" s="5458"/>
      <c r="AB187" s="5459"/>
      <c r="AC187" s="5457" t="s">
        <v>611</v>
      </c>
      <c r="AD187" s="5458"/>
      <c r="AE187" s="5458"/>
      <c r="AF187" s="5458"/>
      <c r="AG187" s="5458"/>
      <c r="AH187" s="5458"/>
      <c r="AI187" s="5458"/>
      <c r="AJ187" s="5457"/>
      <c r="AK187" s="5458"/>
      <c r="AL187" s="5458"/>
      <c r="AM187" s="5458"/>
      <c r="AN187" s="5458"/>
      <c r="AO187" s="5458"/>
      <c r="AP187" s="5459"/>
      <c r="AQ187" s="5457"/>
      <c r="AR187" s="5458"/>
      <c r="AS187" s="5458"/>
      <c r="AT187" s="5458"/>
      <c r="AU187" s="5458"/>
      <c r="AV187" s="5458"/>
      <c r="AW187" s="5459"/>
      <c r="AX187" s="5457"/>
      <c r="AY187" s="5458"/>
      <c r="AZ187" s="5458"/>
      <c r="BA187" s="5458"/>
      <c r="BB187" s="5458"/>
      <c r="BC187" s="5458"/>
      <c r="BD187" s="5459"/>
      <c r="BE187" s="5459"/>
      <c r="BF187" s="2214" t="s">
        <v>575</v>
      </c>
      <c r="BG187" s="2129"/>
      <c r="BH187" s="2207"/>
      <c r="BI187" s="2207" t="str">
        <f t="shared" si="3"/>
        <v>Группа потребителей</v>
      </c>
      <c r="BJ187" s="2207"/>
      <c r="BK187" s="2207"/>
      <c r="BL187" s="2054">
        <v>0</v>
      </c>
    </row>
    <row r="188" spans="1:64" s="4894" customFormat="1" ht="23.25" customHeight="1">
      <c r="A188" s="2197"/>
      <c r="B188" s="2197"/>
      <c r="C188" s="2197"/>
      <c r="D188" s="2197"/>
      <c r="E188" s="5470"/>
      <c r="F188" s="5470"/>
      <c r="G188" s="5470">
        <v>1</v>
      </c>
      <c r="H188" s="5470"/>
      <c r="I188" s="5472"/>
      <c r="J188" s="5472"/>
      <c r="K188" s="5471" t="str">
        <f>J187&amp;".1"</f>
        <v>1.6.2.1.1.1</v>
      </c>
      <c r="L188" s="2198"/>
      <c r="M188" s="2208"/>
      <c r="N188" s="2208"/>
      <c r="O188" s="2208"/>
      <c r="P188" s="5473"/>
      <c r="Q188" s="5473"/>
      <c r="R188" s="2212">
        <v>1</v>
      </c>
      <c r="S188" s="2203" t="str">
        <f>$K188</f>
        <v>1.6.2.1.1.1</v>
      </c>
      <c r="T188" s="2215" t="s">
        <v>569</v>
      </c>
      <c r="U188" s="2205"/>
      <c r="V188" s="2055"/>
      <c r="W188" s="2055"/>
      <c r="X188" s="2056"/>
      <c r="Y188" s="5474"/>
      <c r="Z188" s="5338" t="s">
        <v>66</v>
      </c>
      <c r="AA188" s="5474"/>
      <c r="AB188" s="5338" t="s">
        <v>66</v>
      </c>
      <c r="AC188" s="2055">
        <v>34.6</v>
      </c>
      <c r="AD188" s="2055"/>
      <c r="AE188" s="2056"/>
      <c r="AF188" s="5474">
        <v>45658.615185185183</v>
      </c>
      <c r="AG188" s="5338" t="s">
        <v>66</v>
      </c>
      <c r="AH188" s="5476">
        <v>46022.615312499998</v>
      </c>
      <c r="AI188" s="5338" t="s">
        <v>66</v>
      </c>
      <c r="AJ188" s="2055">
        <v>33.159999999999997</v>
      </c>
      <c r="AK188" s="2055"/>
      <c r="AL188" s="2056"/>
      <c r="AM188" s="5474">
        <v>46023.632314814815</v>
      </c>
      <c r="AN188" s="5338" t="s">
        <v>66</v>
      </c>
      <c r="AO188" s="5474">
        <v>46387.632164351853</v>
      </c>
      <c r="AP188" s="5338" t="s">
        <v>66</v>
      </c>
      <c r="AQ188" s="2055">
        <v>34.08</v>
      </c>
      <c r="AR188" s="2055"/>
      <c r="AS188" s="2056"/>
      <c r="AT188" s="5474">
        <v>46388.631990740738</v>
      </c>
      <c r="AU188" s="5338" t="s">
        <v>66</v>
      </c>
      <c r="AV188" s="5474">
        <v>46752.631828703707</v>
      </c>
      <c r="AW188" s="5338" t="s">
        <v>66</v>
      </c>
      <c r="AX188" s="2055">
        <v>35.04</v>
      </c>
      <c r="AY188" s="2055"/>
      <c r="AZ188" s="2056"/>
      <c r="BA188" s="5474">
        <v>46753.631076388891</v>
      </c>
      <c r="BB188" s="5338" t="s">
        <v>66</v>
      </c>
      <c r="BC188" s="5474">
        <v>47118.630844907406</v>
      </c>
      <c r="BD188" s="5338" t="s">
        <v>66</v>
      </c>
      <c r="BE188" s="2216"/>
      <c r="BF188"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88" s="2129" t="e">
        <f ca="1">STRCHECKDATE(V189:BE189)</f>
        <v>#NAME?</v>
      </c>
      <c r="BH188" s="2207"/>
      <c r="BI188" s="2207" t="str">
        <f t="shared" si="3"/>
        <v>без НДС</v>
      </c>
      <c r="BJ188" s="2207"/>
      <c r="BK188" s="2207"/>
      <c r="BL188" s="2054">
        <v>0</v>
      </c>
    </row>
    <row r="189" spans="1:64" s="4895" customFormat="1" ht="14.25" customHeight="1">
      <c r="A189" s="2197"/>
      <c r="B189" s="2197"/>
      <c r="C189" s="2197"/>
      <c r="D189" s="2197"/>
      <c r="E189" s="5470"/>
      <c r="F189" s="5470"/>
      <c r="G189" s="5470">
        <v>1</v>
      </c>
      <c r="H189" s="5470"/>
      <c r="I189" s="5472"/>
      <c r="J189" s="5472"/>
      <c r="K189" s="5471"/>
      <c r="L189" s="2198"/>
      <c r="M189" s="2208"/>
      <c r="N189" s="2208"/>
      <c r="O189" s="2208"/>
      <c r="P189" s="5473"/>
      <c r="Q189" s="5473"/>
      <c r="R189" s="2212"/>
      <c r="S189" s="2217"/>
      <c r="T189" s="2205"/>
      <c r="U189" s="2205"/>
      <c r="V189" s="2057"/>
      <c r="W189" s="2057"/>
      <c r="X189" s="2058" t="str">
        <f>Y188&amp;"-"&amp;AA188</f>
        <v>-</v>
      </c>
      <c r="Y189" s="5475"/>
      <c r="Z189" s="5338"/>
      <c r="AA189" s="5475"/>
      <c r="AB189" s="5338"/>
      <c r="AC189" s="2057"/>
      <c r="AD189" s="2057"/>
      <c r="AE189" s="2058" t="str">
        <f>AF188&amp;"-"&amp;AH188</f>
        <v>45658,6151851852-46022,6153125</v>
      </c>
      <c r="AF189" s="5475"/>
      <c r="AG189" s="5338"/>
      <c r="AH189" s="5477"/>
      <c r="AI189" s="5338"/>
      <c r="AJ189" s="2057"/>
      <c r="AK189" s="2057"/>
      <c r="AL189" s="2058" t="str">
        <f>AM188&amp;"-"&amp;AO188</f>
        <v>46023,6323148148-46387,6321643519</v>
      </c>
      <c r="AM189" s="5475"/>
      <c r="AN189" s="5338"/>
      <c r="AO189" s="5475"/>
      <c r="AP189" s="5338"/>
      <c r="AQ189" s="2057"/>
      <c r="AR189" s="2057"/>
      <c r="AS189" s="2058" t="str">
        <f>AT188&amp;"-"&amp;AV188</f>
        <v>46388,6319907407-46752,6318287037</v>
      </c>
      <c r="AT189" s="5475"/>
      <c r="AU189" s="5338"/>
      <c r="AV189" s="5475"/>
      <c r="AW189" s="5338"/>
      <c r="AX189" s="2057"/>
      <c r="AY189" s="2057"/>
      <c r="AZ189" s="2058" t="str">
        <f>BA188&amp;"-"&amp;BC188</f>
        <v>46753,6310763889-47118,6308449074</v>
      </c>
      <c r="BA189" s="5475"/>
      <c r="BB189" s="5338"/>
      <c r="BC189" s="5475"/>
      <c r="BD189" s="5338"/>
      <c r="BE189" s="2218"/>
      <c r="BF189" s="5543"/>
      <c r="BG189" s="2129"/>
      <c r="BH189" s="2207"/>
      <c r="BI189" s="2207" t="str">
        <f t="shared" si="3"/>
        <v/>
      </c>
      <c r="BJ189" s="2207"/>
      <c r="BK189" s="2207"/>
      <c r="BL189" s="2054">
        <v>0</v>
      </c>
    </row>
    <row r="190" spans="1:64" s="4896" customFormat="1" ht="21" customHeight="1">
      <c r="A190" s="2197"/>
      <c r="B190" s="2197"/>
      <c r="C190" s="2197"/>
      <c r="D190" s="2197"/>
      <c r="E190" s="5470"/>
      <c r="F190" s="5470"/>
      <c r="G190" s="5470">
        <v>1</v>
      </c>
      <c r="H190" s="5470"/>
      <c r="I190" s="5472"/>
      <c r="J190" s="5471"/>
      <c r="K190" s="2197"/>
      <c r="L190" s="2198"/>
      <c r="M190" s="2208"/>
      <c r="N190" s="2208"/>
      <c r="O190" s="2208"/>
      <c r="P190" s="5473"/>
      <c r="Q190" s="5473"/>
      <c r="R190" s="2210"/>
      <c r="S190" s="3421"/>
      <c r="T190" s="3422" t="s">
        <v>576</v>
      </c>
      <c r="U190" s="3423"/>
      <c r="V190" s="3424"/>
      <c r="W190" s="3425"/>
      <c r="X190" s="3426"/>
      <c r="Y190" s="3427"/>
      <c r="Z190" s="3428"/>
      <c r="AA190" s="3429"/>
      <c r="AB190" s="3430"/>
      <c r="AC190" s="3431"/>
      <c r="AD190" s="3432"/>
      <c r="AE190" s="3433"/>
      <c r="AF190" s="3434"/>
      <c r="AG190" s="3435"/>
      <c r="AH190" s="3436"/>
      <c r="AI190" s="3437"/>
      <c r="AJ190" s="3438"/>
      <c r="AK190" s="3439"/>
      <c r="AL190" s="3440"/>
      <c r="AM190" s="3441"/>
      <c r="AN190" s="3442"/>
      <c r="AO190" s="3443"/>
      <c r="AP190" s="3444"/>
      <c r="AQ190" s="3445"/>
      <c r="AR190" s="3446"/>
      <c r="AS190" s="3447"/>
      <c r="AT190" s="3448"/>
      <c r="AU190" s="3449"/>
      <c r="AV190" s="3450"/>
      <c r="AW190" s="3451"/>
      <c r="AX190" s="3452"/>
      <c r="AY190" s="3453"/>
      <c r="AZ190" s="3454"/>
      <c r="BA190" s="3455"/>
      <c r="BB190" s="3456"/>
      <c r="BC190" s="3457"/>
      <c r="BD190" s="3458"/>
      <c r="BE190" s="3459"/>
      <c r="BF190" s="2206" t="s">
        <v>577</v>
      </c>
      <c r="BG190" s="2129"/>
      <c r="BH190" s="2207"/>
      <c r="BI190" s="2207" t="str">
        <f t="shared" si="3"/>
        <v>Добавить значение признака дифференциации</v>
      </c>
      <c r="BJ190" s="2207"/>
      <c r="BK190" s="2207"/>
      <c r="BL190" s="2054">
        <v>0</v>
      </c>
    </row>
    <row r="191" spans="1:64" s="4897" customFormat="1" ht="23.25" customHeight="1">
      <c r="A191" s="4309"/>
      <c r="B191" s="4309"/>
      <c r="C191" s="4309"/>
      <c r="D191" s="4309"/>
      <c r="E191" s="5470"/>
      <c r="F191" s="5470"/>
      <c r="G191" s="5470"/>
      <c r="H191" s="5470"/>
      <c r="I191" s="5472"/>
      <c r="J191" s="5471" t="str">
        <f>I186&amp;".2"</f>
        <v>1.6.2.1.2</v>
      </c>
      <c r="K191" s="4309"/>
      <c r="L191" s="4310" t="s">
        <v>499</v>
      </c>
      <c r="M191" s="4311"/>
      <c r="N191" s="4311"/>
      <c r="O191" s="4311"/>
      <c r="P191" s="5473"/>
      <c r="Q191" s="5553" t="s">
        <v>104</v>
      </c>
      <c r="R191" s="4312"/>
      <c r="S191" s="4313" t="str">
        <f>$J191</f>
        <v>1.6.2.1.2</v>
      </c>
      <c r="T191" s="4314" t="s">
        <v>500</v>
      </c>
      <c r="U191" s="4315"/>
      <c r="V191" s="5457"/>
      <c r="W191" s="5458"/>
      <c r="X191" s="5458"/>
      <c r="Y191" s="5458"/>
      <c r="Z191" s="5458"/>
      <c r="AA191" s="5458"/>
      <c r="AB191" s="5459"/>
      <c r="AC191" s="5457" t="s">
        <v>612</v>
      </c>
      <c r="AD191" s="5458"/>
      <c r="AE191" s="5458"/>
      <c r="AF191" s="5458"/>
      <c r="AG191" s="5458"/>
      <c r="AH191" s="5458"/>
      <c r="AI191" s="5458"/>
      <c r="AJ191" s="5457"/>
      <c r="AK191" s="5458"/>
      <c r="AL191" s="5458"/>
      <c r="AM191" s="5458"/>
      <c r="AN191" s="5458"/>
      <c r="AO191" s="5458"/>
      <c r="AP191" s="5459"/>
      <c r="AQ191" s="5457"/>
      <c r="AR191" s="5458"/>
      <c r="AS191" s="5458"/>
      <c r="AT191" s="5458"/>
      <c r="AU191" s="5458"/>
      <c r="AV191" s="5458"/>
      <c r="AW191" s="5459"/>
      <c r="AX191" s="5457"/>
      <c r="AY191" s="5458"/>
      <c r="AZ191" s="5458"/>
      <c r="BA191" s="5458"/>
      <c r="BB191" s="5458"/>
      <c r="BC191" s="5458"/>
      <c r="BD191" s="5554"/>
      <c r="BE191" s="5459"/>
      <c r="BF191" s="4316" t="s">
        <v>575</v>
      </c>
      <c r="BG191" s="4317"/>
      <c r="BH191" s="4318"/>
      <c r="BI191" s="4318" t="str">
        <f t="shared" si="3"/>
        <v>Группа потребителей</v>
      </c>
      <c r="BJ191" s="4318"/>
      <c r="BK191" s="4318"/>
      <c r="BL191" s="4319">
        <v>0</v>
      </c>
    </row>
    <row r="192" spans="1:64" s="4898" customFormat="1" ht="23.25" customHeight="1">
      <c r="A192" s="4309"/>
      <c r="B192" s="4309"/>
      <c r="C192" s="4309"/>
      <c r="D192" s="4309"/>
      <c r="E192" s="5470"/>
      <c r="F192" s="5470"/>
      <c r="G192" s="5470"/>
      <c r="H192" s="5470"/>
      <c r="I192" s="5472"/>
      <c r="J192" s="5472" t="str">
        <f>I186&amp;".1"</f>
        <v>1.6.2.1.1</v>
      </c>
      <c r="K192" s="5471" t="str">
        <f>J191&amp;".1"</f>
        <v>1.6.2.1.2.1</v>
      </c>
      <c r="L192" s="4310"/>
      <c r="M192" s="4311"/>
      <c r="N192" s="4311"/>
      <c r="O192" s="4311"/>
      <c r="P192" s="5473"/>
      <c r="Q192" s="5473"/>
      <c r="R192" s="4312">
        <v>1</v>
      </c>
      <c r="S192" s="4313" t="str">
        <f>$K192</f>
        <v>1.6.2.1.2.1</v>
      </c>
      <c r="T192" s="4321"/>
      <c r="U192" s="4315"/>
      <c r="V192" s="4322"/>
      <c r="W192" s="4322"/>
      <c r="X192" s="4323"/>
      <c r="Y192" s="5474"/>
      <c r="Z192" s="5338" t="s">
        <v>66</v>
      </c>
      <c r="AA192" s="5474"/>
      <c r="AB192" s="5338" t="s">
        <v>66</v>
      </c>
      <c r="AC192" s="4322">
        <v>41.52</v>
      </c>
      <c r="AD192" s="4322"/>
      <c r="AE192" s="4323"/>
      <c r="AF192" s="5474">
        <v>45658.676979166667</v>
      </c>
      <c r="AG192" s="5338" t="s">
        <v>66</v>
      </c>
      <c r="AH192" s="5476">
        <v>46022.67701388889</v>
      </c>
      <c r="AI192" s="5338" t="s">
        <v>66</v>
      </c>
      <c r="AJ192" s="4322">
        <v>39.79</v>
      </c>
      <c r="AK192" s="4322"/>
      <c r="AL192" s="4323"/>
      <c r="AM192" s="5474">
        <v>46023.677233796298</v>
      </c>
      <c r="AN192" s="5338" t="s">
        <v>66</v>
      </c>
      <c r="AO192" s="5474">
        <v>46387.677361111113</v>
      </c>
      <c r="AP192" s="5338" t="s">
        <v>66</v>
      </c>
      <c r="AQ192" s="4322">
        <v>40.9</v>
      </c>
      <c r="AR192" s="4322"/>
      <c r="AS192" s="4323"/>
      <c r="AT192" s="5474">
        <v>46388.677824074075</v>
      </c>
      <c r="AU192" s="5338" t="s">
        <v>66</v>
      </c>
      <c r="AV192" s="5474">
        <v>46752.677881944444</v>
      </c>
      <c r="AW192" s="5338" t="s">
        <v>66</v>
      </c>
      <c r="AX192" s="4322">
        <v>42.05</v>
      </c>
      <c r="AY192" s="4322"/>
      <c r="AZ192" s="4323"/>
      <c r="BA192" s="5474">
        <v>46753.678240740737</v>
      </c>
      <c r="BB192" s="5338" t="s">
        <v>66</v>
      </c>
      <c r="BC192" s="5474">
        <v>47118.67832175926</v>
      </c>
      <c r="BD192" s="5555" t="s">
        <v>66</v>
      </c>
      <c r="BE192" s="4324"/>
      <c r="BF192"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92" s="4317" t="e">
        <f ca="1">STRCHECKDATE(V193:BE193)</f>
        <v>#NAME?</v>
      </c>
      <c r="BH192" s="4318"/>
      <c r="BI192" s="4318" t="str">
        <f t="shared" si="3"/>
        <v/>
      </c>
      <c r="BJ192" s="4318"/>
      <c r="BK192" s="4318"/>
      <c r="BL192" s="4319">
        <v>0</v>
      </c>
    </row>
    <row r="193" spans="1:64" s="4899" customFormat="1" ht="14.25" customHeight="1">
      <c r="A193" s="4309"/>
      <c r="B193" s="4309"/>
      <c r="C193" s="4309"/>
      <c r="D193" s="4309"/>
      <c r="E193" s="5470"/>
      <c r="F193" s="5470"/>
      <c r="G193" s="5470"/>
      <c r="H193" s="5470"/>
      <c r="I193" s="5472"/>
      <c r="J193" s="5472" t="str">
        <f>I186&amp;".1"</f>
        <v>1.6.2.1.1</v>
      </c>
      <c r="K193" s="5471"/>
      <c r="L193" s="4310"/>
      <c r="M193" s="4311"/>
      <c r="N193" s="4311"/>
      <c r="O193" s="4311"/>
      <c r="P193" s="5473"/>
      <c r="Q193" s="5473"/>
      <c r="R193" s="4312"/>
      <c r="S193" s="4326"/>
      <c r="T193" s="4315"/>
      <c r="U193" s="4315"/>
      <c r="V193" s="4327"/>
      <c r="W193" s="4327"/>
      <c r="X193" s="4328" t="str">
        <f>Y192&amp;"-"&amp;AA192</f>
        <v>-</v>
      </c>
      <c r="Y193" s="5475"/>
      <c r="Z193" s="5338"/>
      <c r="AA193" s="5475"/>
      <c r="AB193" s="5338"/>
      <c r="AC193" s="4327"/>
      <c r="AD193" s="4327"/>
      <c r="AE193" s="4328" t="str">
        <f>AF192&amp;"-"&amp;AH192</f>
        <v>45658,6769791667-46022,6770138889</v>
      </c>
      <c r="AF193" s="5475"/>
      <c r="AG193" s="5338"/>
      <c r="AH193" s="5477"/>
      <c r="AI193" s="5338"/>
      <c r="AJ193" s="4327"/>
      <c r="AK193" s="4327"/>
      <c r="AL193" s="4328" t="str">
        <f>AM192&amp;"-"&amp;AO192</f>
        <v>46023,6772337963-46387,6773611111</v>
      </c>
      <c r="AM193" s="5475"/>
      <c r="AN193" s="5338"/>
      <c r="AO193" s="5475"/>
      <c r="AP193" s="5338"/>
      <c r="AQ193" s="4327"/>
      <c r="AR193" s="4327"/>
      <c r="AS193" s="4328" t="str">
        <f>AT192&amp;"-"&amp;AV192</f>
        <v>46388,6778240741-46752,6778819444</v>
      </c>
      <c r="AT193" s="5475"/>
      <c r="AU193" s="5338"/>
      <c r="AV193" s="5475"/>
      <c r="AW193" s="5338"/>
      <c r="AX193" s="4327"/>
      <c r="AY193" s="4327"/>
      <c r="AZ193" s="4328" t="str">
        <f>BA192&amp;"-"&amp;BC192</f>
        <v>46753,6782407407-47118,6783217593</v>
      </c>
      <c r="BA193" s="5475"/>
      <c r="BB193" s="5338"/>
      <c r="BC193" s="5475"/>
      <c r="BD193" s="5555"/>
      <c r="BE193" s="4329"/>
      <c r="BF193" s="5543"/>
      <c r="BG193" s="4317"/>
      <c r="BH193" s="4318"/>
      <c r="BI193" s="4318" t="str">
        <f t="shared" si="3"/>
        <v/>
      </c>
      <c r="BJ193" s="4318"/>
      <c r="BK193" s="4318"/>
      <c r="BL193" s="4319">
        <v>0</v>
      </c>
    </row>
    <row r="194" spans="1:64" s="4900" customFormat="1" ht="21" customHeight="1">
      <c r="A194" s="4309"/>
      <c r="B194" s="4309"/>
      <c r="C194" s="4309"/>
      <c r="D194" s="4309"/>
      <c r="E194" s="5470"/>
      <c r="F194" s="5470"/>
      <c r="G194" s="5470"/>
      <c r="H194" s="5470"/>
      <c r="I194" s="5472"/>
      <c r="J194" s="5471" t="str">
        <f>I186&amp;".1"</f>
        <v>1.6.2.1.1</v>
      </c>
      <c r="K194" s="4309"/>
      <c r="L194" s="4310"/>
      <c r="M194" s="4311"/>
      <c r="N194" s="4311"/>
      <c r="O194" s="4311"/>
      <c r="P194" s="5473"/>
      <c r="Q194" s="5473"/>
      <c r="R194" s="4331"/>
      <c r="S194" s="4901"/>
      <c r="T194" s="4902" t="s">
        <v>576</v>
      </c>
      <c r="U194" s="4903"/>
      <c r="V194" s="4904"/>
      <c r="W194" s="4905"/>
      <c r="X194" s="4906"/>
      <c r="Y194" s="4907"/>
      <c r="Z194" s="4908"/>
      <c r="AA194" s="4909"/>
      <c r="AB194" s="4910"/>
      <c r="AC194" s="4911"/>
      <c r="AD194" s="4912"/>
      <c r="AE194" s="4913"/>
      <c r="AF194" s="4914"/>
      <c r="AG194" s="4915"/>
      <c r="AH194" s="4916"/>
      <c r="AI194" s="4917"/>
      <c r="AJ194" s="4918"/>
      <c r="AK194" s="4919"/>
      <c r="AL194" s="4920"/>
      <c r="AM194" s="4921"/>
      <c r="AN194" s="4922"/>
      <c r="AO194" s="4923"/>
      <c r="AP194" s="4924"/>
      <c r="AQ194" s="4925"/>
      <c r="AR194" s="4926"/>
      <c r="AS194" s="4927"/>
      <c r="AT194" s="4928"/>
      <c r="AU194" s="4929"/>
      <c r="AV194" s="4930"/>
      <c r="AW194" s="4931"/>
      <c r="AX194" s="4932"/>
      <c r="AY194" s="4933"/>
      <c r="AZ194" s="4934"/>
      <c r="BA194" s="4935"/>
      <c r="BB194" s="4936"/>
      <c r="BC194" s="4937"/>
      <c r="BD194" s="4938"/>
      <c r="BE194" s="4939"/>
      <c r="BF194" s="4371" t="s">
        <v>577</v>
      </c>
      <c r="BG194" s="4317"/>
      <c r="BH194" s="4318"/>
      <c r="BI194" s="4318" t="str">
        <f t="shared" si="3"/>
        <v>Добавить значение признака дифференциации</v>
      </c>
      <c r="BJ194" s="4318"/>
      <c r="BK194" s="4318"/>
      <c r="BL194" s="4319">
        <v>0</v>
      </c>
    </row>
    <row r="195" spans="1:64" s="4940" customFormat="1" ht="21" customHeight="1">
      <c r="A195" s="2197"/>
      <c r="B195" s="2197"/>
      <c r="C195" s="2197"/>
      <c r="D195" s="2197"/>
      <c r="E195" s="5470"/>
      <c r="F195" s="5470"/>
      <c r="G195" s="5470">
        <v>1</v>
      </c>
      <c r="H195" s="5470"/>
      <c r="I195" s="5471"/>
      <c r="J195" s="2197"/>
      <c r="K195" s="2197"/>
      <c r="L195" s="2198"/>
      <c r="M195" s="2208"/>
      <c r="N195" s="2208"/>
      <c r="O195" s="2208"/>
      <c r="P195" s="5473"/>
      <c r="Q195" s="2209"/>
      <c r="R195" s="2210"/>
      <c r="S195" s="3460"/>
      <c r="T195" s="3461" t="s">
        <v>505</v>
      </c>
      <c r="U195" s="3462"/>
      <c r="V195" s="3463"/>
      <c r="W195" s="3464"/>
      <c r="X195" s="3465"/>
      <c r="Y195" s="3466"/>
      <c r="Z195" s="3467"/>
      <c r="AA195" s="3468"/>
      <c r="AB195" s="3469"/>
      <c r="AC195" s="3470"/>
      <c r="AD195" s="3471"/>
      <c r="AE195" s="3472"/>
      <c r="AF195" s="3473"/>
      <c r="AG195" s="3474"/>
      <c r="AH195" s="3475"/>
      <c r="AI195" s="3476"/>
      <c r="AJ195" s="3477"/>
      <c r="AK195" s="3478"/>
      <c r="AL195" s="3479"/>
      <c r="AM195" s="3480"/>
      <c r="AN195" s="3481"/>
      <c r="AO195" s="3482"/>
      <c r="AP195" s="3483"/>
      <c r="AQ195" s="3484"/>
      <c r="AR195" s="3485"/>
      <c r="AS195" s="3486"/>
      <c r="AT195" s="3487"/>
      <c r="AU195" s="3488"/>
      <c r="AV195" s="3489"/>
      <c r="AW195" s="3490"/>
      <c r="AX195" s="3491"/>
      <c r="AY195" s="3492"/>
      <c r="AZ195" s="3493"/>
      <c r="BA195" s="3494"/>
      <c r="BB195" s="3495"/>
      <c r="BC195" s="3496"/>
      <c r="BD195" s="3497"/>
      <c r="BE195" s="3498"/>
      <c r="BF195" s="3499"/>
      <c r="BG195" s="2129"/>
      <c r="BH195" s="2207"/>
      <c r="BI195" s="2207" t="str">
        <f t="shared" si="3"/>
        <v>Добавить группу потребителей</v>
      </c>
      <c r="BJ195" s="2207"/>
      <c r="BK195" s="2207"/>
      <c r="BL195" s="2054">
        <v>0</v>
      </c>
    </row>
    <row r="196" spans="1:64" s="4941" customFormat="1" ht="21" customHeight="1">
      <c r="A196" s="2197"/>
      <c r="B196" s="2197"/>
      <c r="C196" s="2197"/>
      <c r="D196" s="2197"/>
      <c r="E196" s="5470"/>
      <c r="F196" s="5470"/>
      <c r="G196" s="5470">
        <v>1</v>
      </c>
      <c r="H196" s="5469"/>
      <c r="I196" s="2197"/>
      <c r="J196" s="2197"/>
      <c r="K196" s="2197"/>
      <c r="L196" s="2198"/>
      <c r="M196" s="2199"/>
      <c r="N196" s="2199"/>
      <c r="O196" s="2123"/>
      <c r="P196" s="2298"/>
      <c r="Q196" s="2299"/>
      <c r="R196" s="2300"/>
      <c r="S196" s="3500"/>
      <c r="T196" s="3501" t="s">
        <v>578</v>
      </c>
      <c r="U196" s="3502"/>
      <c r="V196" s="3503"/>
      <c r="W196" s="3504"/>
      <c r="X196" s="3505"/>
      <c r="Y196" s="3506"/>
      <c r="Z196" s="3507"/>
      <c r="AA196" s="3508"/>
      <c r="AB196" s="3509"/>
      <c r="AC196" s="3510"/>
      <c r="AD196" s="3511"/>
      <c r="AE196" s="3512"/>
      <c r="AF196" s="3513"/>
      <c r="AG196" s="3514"/>
      <c r="AH196" s="3515"/>
      <c r="AI196" s="3516"/>
      <c r="AJ196" s="3517"/>
      <c r="AK196" s="3518"/>
      <c r="AL196" s="3519"/>
      <c r="AM196" s="3520"/>
      <c r="AN196" s="3521"/>
      <c r="AO196" s="3522"/>
      <c r="AP196" s="3523"/>
      <c r="AQ196" s="3524"/>
      <c r="AR196" s="3525"/>
      <c r="AS196" s="3526"/>
      <c r="AT196" s="3527"/>
      <c r="AU196" s="3528"/>
      <c r="AV196" s="3529"/>
      <c r="AW196" s="3530"/>
      <c r="AX196" s="3531"/>
      <c r="AY196" s="3532"/>
      <c r="AZ196" s="3533"/>
      <c r="BA196" s="3534"/>
      <c r="BB196" s="3535"/>
      <c r="BC196" s="3536"/>
      <c r="BD196" s="3537"/>
      <c r="BE196" s="3538"/>
      <c r="BF196" s="3539"/>
      <c r="BG196" s="2129"/>
      <c r="BH196" s="2207"/>
      <c r="BI196" s="2207" t="str">
        <f t="shared" si="3"/>
        <v>Добавить наименование признака дифференциации</v>
      </c>
      <c r="BJ196" s="2207"/>
      <c r="BK196" s="2207"/>
      <c r="BL196" s="2054">
        <v>0</v>
      </c>
    </row>
    <row r="197" spans="1:64" s="4942" customFormat="1" ht="14.25" customHeight="1">
      <c r="A197" s="2938"/>
      <c r="B197" s="2938"/>
      <c r="C197" s="2938"/>
      <c r="D197" s="2938"/>
      <c r="E197" s="5470"/>
      <c r="F197" s="5469" t="s">
        <v>116</v>
      </c>
      <c r="G197" s="2938"/>
      <c r="H197" s="2938"/>
      <c r="I197" s="2938"/>
      <c r="J197" s="2938"/>
      <c r="K197" s="2938"/>
      <c r="L197" s="2939"/>
      <c r="M197" s="2940"/>
      <c r="N197" s="2940"/>
      <c r="O197" s="2129"/>
      <c r="P197" s="2941"/>
      <c r="Q197" s="2942"/>
      <c r="R197" s="2941"/>
      <c r="S197" s="2943"/>
      <c r="T197" s="2944" t="s">
        <v>312</v>
      </c>
      <c r="U197" s="2122"/>
      <c r="V197" s="2122"/>
      <c r="W197" s="2122"/>
      <c r="X197" s="2122"/>
      <c r="Y197" s="2122"/>
      <c r="Z197" s="2122"/>
      <c r="AA197" s="2122"/>
      <c r="AB197" s="2122"/>
      <c r="AC197" s="2122"/>
      <c r="AD197" s="2122"/>
      <c r="AE197" s="2122"/>
      <c r="AF197" s="2122"/>
      <c r="AG197" s="2122"/>
      <c r="AH197" s="2122"/>
      <c r="AI197" s="2122"/>
      <c r="AJ197" s="2122"/>
      <c r="AK197" s="2122"/>
      <c r="AL197" s="2122"/>
      <c r="AM197" s="2122"/>
      <c r="AN197" s="2122"/>
      <c r="AO197" s="2122"/>
      <c r="AP197" s="2122"/>
      <c r="AQ197" s="2122"/>
      <c r="AR197" s="2122"/>
      <c r="AS197" s="2122"/>
      <c r="AT197" s="2122"/>
      <c r="AU197" s="2122"/>
      <c r="AV197" s="2122"/>
      <c r="AW197" s="2122"/>
      <c r="AX197" s="2122"/>
      <c r="AY197" s="2122"/>
      <c r="AZ197" s="2122"/>
      <c r="BA197" s="2122"/>
      <c r="BB197" s="2122"/>
      <c r="BC197" s="2122"/>
      <c r="BD197" s="2122"/>
      <c r="BE197" s="2122"/>
      <c r="BF197" s="2122"/>
      <c r="BG197" s="2129"/>
      <c r="BH197" s="2207"/>
      <c r="BI197" s="2207" t="str">
        <f t="shared" si="3"/>
        <v>Добавить централизованную систему для дифференциации</v>
      </c>
      <c r="BJ197" s="2207"/>
      <c r="BK197" s="2207"/>
      <c r="BL197" s="2129">
        <v>0</v>
      </c>
    </row>
    <row r="198" spans="1:64" s="4943" customFormat="1" ht="23.25" customHeight="1">
      <c r="A198" s="2197"/>
      <c r="B198" s="2197" t="s">
        <v>340</v>
      </c>
      <c r="C198" s="2197"/>
      <c r="D198" s="2197"/>
      <c r="E198" s="5470"/>
      <c r="F198" s="5469" t="s">
        <v>93</v>
      </c>
      <c r="G198" s="2197"/>
      <c r="H198" s="2197"/>
      <c r="I198" s="2197"/>
      <c r="J198" s="2197"/>
      <c r="K198" s="2197"/>
      <c r="L198" s="2198"/>
      <c r="M198" s="2199"/>
      <c r="N198" s="2199"/>
      <c r="O198" s="2199"/>
      <c r="P198" s="2698"/>
      <c r="Q198" s="2201"/>
      <c r="R198" s="2202"/>
      <c r="S198" s="2203" t="str">
        <f>INDEX(PT_DIFFERENTIATION_NUM_TER,MATCH(B198,PT_DIFFERENTIATION_TER_ID,0))</f>
        <v>1.7</v>
      </c>
      <c r="T198" s="2699" t="s">
        <v>490</v>
      </c>
      <c r="U198" s="2205"/>
      <c r="V198" s="5463"/>
      <c r="W198" s="5464"/>
      <c r="X198" s="5464"/>
      <c r="Y198" s="5464"/>
      <c r="Z198" s="5464"/>
      <c r="AA198" s="5464"/>
      <c r="AB198" s="5465"/>
      <c r="AC198" s="5463" t="str">
        <f>INDEX(PT_DIFFERENTIATION_TER,MATCH(B198,PT_DIFFERENTIATION_TER_ID,0))</f>
        <v>Территория 7</v>
      </c>
      <c r="AD198" s="5464"/>
      <c r="AE198" s="5464"/>
      <c r="AF198" s="5464"/>
      <c r="AG198" s="5464"/>
      <c r="AH198" s="5464"/>
      <c r="AI198" s="5464"/>
      <c r="AJ198" s="5463"/>
      <c r="AK198" s="5464"/>
      <c r="AL198" s="5464"/>
      <c r="AM198" s="5464"/>
      <c r="AN198" s="5464"/>
      <c r="AO198" s="5464"/>
      <c r="AP198" s="5465"/>
      <c r="AQ198" s="5463"/>
      <c r="AR198" s="5464"/>
      <c r="AS198" s="5464"/>
      <c r="AT198" s="5464"/>
      <c r="AU198" s="5464"/>
      <c r="AV198" s="5464"/>
      <c r="AW198" s="5465"/>
      <c r="AX198" s="5463"/>
      <c r="AY198" s="5464"/>
      <c r="AZ198" s="5464"/>
      <c r="BA198" s="5464"/>
      <c r="BB198" s="5464"/>
      <c r="BC198" s="5464"/>
      <c r="BD198" s="5465"/>
      <c r="BE198" s="5465"/>
      <c r="BF198" s="2206" t="s">
        <v>491</v>
      </c>
      <c r="BG198" s="2129"/>
      <c r="BH198" s="2207"/>
      <c r="BI198" s="2207" t="str">
        <f t="shared" si="3"/>
        <v>Территория действия тарифа</v>
      </c>
      <c r="BJ198" s="2207"/>
      <c r="BK198" s="2207"/>
      <c r="BL198" s="2054">
        <v>0</v>
      </c>
    </row>
    <row r="199" spans="1:64" s="4944" customFormat="1" ht="23.25" customHeight="1">
      <c r="A199" s="2197"/>
      <c r="B199" s="2197"/>
      <c r="C199" s="2197" t="s">
        <v>341</v>
      </c>
      <c r="D199" s="2197"/>
      <c r="E199" s="5470"/>
      <c r="F199" s="5470" t="s">
        <v>92</v>
      </c>
      <c r="G199" s="5469">
        <v>1</v>
      </c>
      <c r="H199" s="2197"/>
      <c r="I199" s="2197"/>
      <c r="J199" s="2197"/>
      <c r="K199" s="2197"/>
      <c r="L199" s="2198"/>
      <c r="M199" s="2199"/>
      <c r="N199" s="2199"/>
      <c r="O199" s="2199"/>
      <c r="P199" s="2200"/>
      <c r="Q199" s="2201"/>
      <c r="R199" s="2202"/>
      <c r="S199" s="2203" t="str">
        <f>INDEX(PT_DIFFERENTIATION_NUM_CS,MATCH(C199,PT_DIFFERENTIATION_CS_ID,0))</f>
        <v>1.7.1</v>
      </c>
      <c r="T199" s="2204" t="s">
        <v>606</v>
      </c>
      <c r="U199" s="2205"/>
      <c r="V199" s="5463"/>
      <c r="W199" s="5464"/>
      <c r="X199" s="5464"/>
      <c r="Y199" s="5464"/>
      <c r="Z199" s="5464"/>
      <c r="AA199" s="5464"/>
      <c r="AB199" s="5465"/>
      <c r="AC199" s="5463" t="str">
        <f>INDEX(PT_DIFFERENTIATION_CS,MATCH(C199,PT_DIFFERENTIATION_CS_ID,0))</f>
        <v>ГО Спасск-Дальний</v>
      </c>
      <c r="AD199" s="5464"/>
      <c r="AE199" s="5464"/>
      <c r="AF199" s="5464"/>
      <c r="AG199" s="5464"/>
      <c r="AH199" s="5464"/>
      <c r="AI199" s="5464"/>
      <c r="AJ199" s="5463"/>
      <c r="AK199" s="5464"/>
      <c r="AL199" s="5464"/>
      <c r="AM199" s="5464"/>
      <c r="AN199" s="5464"/>
      <c r="AO199" s="5464"/>
      <c r="AP199" s="5465"/>
      <c r="AQ199" s="5463"/>
      <c r="AR199" s="5464"/>
      <c r="AS199" s="5464"/>
      <c r="AT199" s="5464"/>
      <c r="AU199" s="5464"/>
      <c r="AV199" s="5464"/>
      <c r="AW199" s="5465"/>
      <c r="AX199" s="5463"/>
      <c r="AY199" s="5464"/>
      <c r="AZ199" s="5464"/>
      <c r="BA199" s="5464"/>
      <c r="BB199" s="5464"/>
      <c r="BC199" s="5464"/>
      <c r="BD199" s="5465"/>
      <c r="BE199" s="5465"/>
      <c r="BF199" s="2206" t="s">
        <v>607</v>
      </c>
      <c r="BG199" s="2129"/>
      <c r="BH199" s="2207"/>
      <c r="BI199" s="2207" t="str">
        <f t="shared" si="3"/>
        <v>Наименование централизованной системы водоотведения</v>
      </c>
      <c r="BJ199" s="2207"/>
      <c r="BK199" s="2207"/>
      <c r="BL199" s="2054">
        <v>0</v>
      </c>
    </row>
    <row r="200" spans="1:64" s="4945" customFormat="1" ht="23.25" customHeight="1">
      <c r="A200" s="2197"/>
      <c r="B200" s="2197"/>
      <c r="C200" s="2197"/>
      <c r="D200" s="2197"/>
      <c r="E200" s="5470"/>
      <c r="F200" s="5470" t="s">
        <v>92</v>
      </c>
      <c r="G200" s="5470"/>
      <c r="H200" s="5470"/>
      <c r="I200" s="5471" t="str">
        <f>S199&amp;".1"</f>
        <v>1.7.1.1</v>
      </c>
      <c r="J200" s="2197"/>
      <c r="K200" s="2197"/>
      <c r="L200" s="2198"/>
      <c r="M200" s="2208"/>
      <c r="N200" s="2208"/>
      <c r="O200" s="2208"/>
      <c r="P200" s="5473">
        <v>1</v>
      </c>
      <c r="Q200" s="2209"/>
      <c r="R200" s="2210"/>
      <c r="S200" s="2203" t="str">
        <f>$I200</f>
        <v>1.7.1.1</v>
      </c>
      <c r="T200" s="2211" t="s">
        <v>573</v>
      </c>
      <c r="U200" s="2205"/>
      <c r="V200" s="5537"/>
      <c r="W200" s="5538"/>
      <c r="X200" s="5538"/>
      <c r="Y200" s="5538"/>
      <c r="Z200" s="5538"/>
      <c r="AA200" s="5538"/>
      <c r="AB200" s="5539"/>
      <c r="AC200" s="5540"/>
      <c r="AD200" s="5541"/>
      <c r="AE200" s="5541"/>
      <c r="AF200" s="5541"/>
      <c r="AG200" s="5541"/>
      <c r="AH200" s="5541"/>
      <c r="AI200" s="5541"/>
      <c r="AJ200" s="5537"/>
      <c r="AK200" s="5538"/>
      <c r="AL200" s="5538"/>
      <c r="AM200" s="5538"/>
      <c r="AN200" s="5538"/>
      <c r="AO200" s="5538"/>
      <c r="AP200" s="5539"/>
      <c r="AQ200" s="5537"/>
      <c r="AR200" s="5538"/>
      <c r="AS200" s="5538"/>
      <c r="AT200" s="5538"/>
      <c r="AU200" s="5538"/>
      <c r="AV200" s="5538"/>
      <c r="AW200" s="5539"/>
      <c r="AX200" s="5537"/>
      <c r="AY200" s="5538"/>
      <c r="AZ200" s="5538"/>
      <c r="BA200" s="5538"/>
      <c r="BB200" s="5538"/>
      <c r="BC200" s="5538"/>
      <c r="BD200" s="5539"/>
      <c r="BE200" s="5542"/>
      <c r="BF200" s="2206" t="s">
        <v>574</v>
      </c>
      <c r="BG200" s="2129"/>
      <c r="BH200" s="2207"/>
      <c r="BI200" s="2207" t="str">
        <f t="shared" si="3"/>
        <v>Наименование признака дифференциации</v>
      </c>
      <c r="BJ200" s="2207"/>
      <c r="BK200" s="2207"/>
      <c r="BL200" s="2054">
        <v>0</v>
      </c>
    </row>
    <row r="201" spans="1:64" s="4946" customFormat="1" ht="23.25" customHeight="1">
      <c r="A201" s="2197"/>
      <c r="B201" s="2197"/>
      <c r="C201" s="2197"/>
      <c r="D201" s="2197"/>
      <c r="E201" s="5470"/>
      <c r="F201" s="5470" t="s">
        <v>92</v>
      </c>
      <c r="G201" s="5470"/>
      <c r="H201" s="5470"/>
      <c r="I201" s="5472"/>
      <c r="J201" s="5471" t="str">
        <f>I200&amp;".1"</f>
        <v>1.7.1.1.1</v>
      </c>
      <c r="K201" s="2197"/>
      <c r="L201" s="2198" t="s">
        <v>499</v>
      </c>
      <c r="M201" s="2208"/>
      <c r="N201" s="2208"/>
      <c r="O201" s="2208"/>
      <c r="P201" s="5473"/>
      <c r="Q201" s="5473">
        <v>1</v>
      </c>
      <c r="R201" s="2212"/>
      <c r="S201" s="2203" t="str">
        <f>$J201</f>
        <v>1.7.1.1.1</v>
      </c>
      <c r="T201" s="2213" t="s">
        <v>500</v>
      </c>
      <c r="U201" s="2205"/>
      <c r="V201" s="5457"/>
      <c r="W201" s="5458"/>
      <c r="X201" s="5458"/>
      <c r="Y201" s="5458"/>
      <c r="Z201" s="5458"/>
      <c r="AA201" s="5458"/>
      <c r="AB201" s="5459"/>
      <c r="AC201" s="5457" t="s">
        <v>611</v>
      </c>
      <c r="AD201" s="5458"/>
      <c r="AE201" s="5458"/>
      <c r="AF201" s="5458"/>
      <c r="AG201" s="5458"/>
      <c r="AH201" s="5458"/>
      <c r="AI201" s="5458"/>
      <c r="AJ201" s="5457"/>
      <c r="AK201" s="5458"/>
      <c r="AL201" s="5458"/>
      <c r="AM201" s="5458"/>
      <c r="AN201" s="5458"/>
      <c r="AO201" s="5458"/>
      <c r="AP201" s="5459"/>
      <c r="AQ201" s="5457"/>
      <c r="AR201" s="5458"/>
      <c r="AS201" s="5458"/>
      <c r="AT201" s="5458"/>
      <c r="AU201" s="5458"/>
      <c r="AV201" s="5458"/>
      <c r="AW201" s="5459"/>
      <c r="AX201" s="5457"/>
      <c r="AY201" s="5458"/>
      <c r="AZ201" s="5458"/>
      <c r="BA201" s="5458"/>
      <c r="BB201" s="5458"/>
      <c r="BC201" s="5458"/>
      <c r="BD201" s="5459"/>
      <c r="BE201" s="5459"/>
      <c r="BF201" s="2214" t="s">
        <v>575</v>
      </c>
      <c r="BG201" s="2129"/>
      <c r="BH201" s="2207"/>
      <c r="BI201" s="2207" t="str">
        <f t="shared" si="3"/>
        <v>Группа потребителей</v>
      </c>
      <c r="BJ201" s="2207"/>
      <c r="BK201" s="2207"/>
      <c r="BL201" s="2054">
        <v>0</v>
      </c>
    </row>
    <row r="202" spans="1:64" s="4947" customFormat="1" ht="23.25" customHeight="1">
      <c r="A202" s="2197"/>
      <c r="B202" s="2197"/>
      <c r="C202" s="2197"/>
      <c r="D202" s="2197"/>
      <c r="E202" s="5470"/>
      <c r="F202" s="5470" t="s">
        <v>92</v>
      </c>
      <c r="G202" s="5470"/>
      <c r="H202" s="5470"/>
      <c r="I202" s="5472"/>
      <c r="J202" s="5472"/>
      <c r="K202" s="5471" t="str">
        <f>J201&amp;".1"</f>
        <v>1.7.1.1.1.1</v>
      </c>
      <c r="L202" s="2198"/>
      <c r="M202" s="2208"/>
      <c r="N202" s="2208"/>
      <c r="O202" s="2208"/>
      <c r="P202" s="5473"/>
      <c r="Q202" s="5473"/>
      <c r="R202" s="2212">
        <v>1</v>
      </c>
      <c r="S202" s="2203" t="str">
        <f>$K202</f>
        <v>1.7.1.1.1.1</v>
      </c>
      <c r="T202" s="2215" t="s">
        <v>569</v>
      </c>
      <c r="U202" s="2205"/>
      <c r="V202" s="2055"/>
      <c r="W202" s="2055"/>
      <c r="X202" s="2056"/>
      <c r="Y202" s="5474"/>
      <c r="Z202" s="5338" t="s">
        <v>66</v>
      </c>
      <c r="AA202" s="5474"/>
      <c r="AB202" s="5338" t="s">
        <v>66</v>
      </c>
      <c r="AC202" s="2055">
        <v>50.92</v>
      </c>
      <c r="AD202" s="2055"/>
      <c r="AE202" s="2056"/>
      <c r="AF202" s="5474">
        <v>45658.615439814814</v>
      </c>
      <c r="AG202" s="5338" t="s">
        <v>66</v>
      </c>
      <c r="AH202" s="5476">
        <v>46022.615601851852</v>
      </c>
      <c r="AI202" s="5338" t="s">
        <v>66</v>
      </c>
      <c r="AJ202" s="2055">
        <v>49.03</v>
      </c>
      <c r="AK202" s="2055"/>
      <c r="AL202" s="2056"/>
      <c r="AM202" s="5474">
        <v>46023.628078703703</v>
      </c>
      <c r="AN202" s="5338" t="s">
        <v>66</v>
      </c>
      <c r="AO202" s="5474">
        <v>46387.628206018519</v>
      </c>
      <c r="AP202" s="5338" t="s">
        <v>66</v>
      </c>
      <c r="AQ202" s="2055">
        <v>50.42</v>
      </c>
      <c r="AR202" s="2055"/>
      <c r="AS202" s="2056"/>
      <c r="AT202" s="5474">
        <v>46388.627893518518</v>
      </c>
      <c r="AU202" s="5338" t="s">
        <v>66</v>
      </c>
      <c r="AV202" s="5474">
        <v>46752.627766203703</v>
      </c>
      <c r="AW202" s="5338" t="s">
        <v>66</v>
      </c>
      <c r="AX202" s="2055">
        <v>51.86</v>
      </c>
      <c r="AY202" s="2055"/>
      <c r="AZ202" s="2056"/>
      <c r="BA202" s="5474">
        <v>46753.627523148149</v>
      </c>
      <c r="BB202" s="5338" t="s">
        <v>66</v>
      </c>
      <c r="BC202" s="5474">
        <v>47118.627662037034</v>
      </c>
      <c r="BD202" s="5338" t="s">
        <v>66</v>
      </c>
      <c r="BE202" s="2216"/>
      <c r="BF202"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02" s="2129" t="e">
        <f ca="1">STRCHECKDATE(V203:BE203)</f>
        <v>#NAME?</v>
      </c>
      <c r="BH202" s="2207"/>
      <c r="BI202" s="2207" t="str">
        <f t="shared" si="3"/>
        <v>без НДС</v>
      </c>
      <c r="BJ202" s="2207"/>
      <c r="BK202" s="2207"/>
      <c r="BL202" s="2054">
        <v>0</v>
      </c>
    </row>
    <row r="203" spans="1:64" s="4948" customFormat="1" ht="14.25" customHeight="1">
      <c r="A203" s="2197"/>
      <c r="B203" s="2197"/>
      <c r="C203" s="2197"/>
      <c r="D203" s="2197"/>
      <c r="E203" s="5470"/>
      <c r="F203" s="5470" t="s">
        <v>92</v>
      </c>
      <c r="G203" s="5470"/>
      <c r="H203" s="5470"/>
      <c r="I203" s="5472"/>
      <c r="J203" s="5472"/>
      <c r="K203" s="5471"/>
      <c r="L203" s="2198"/>
      <c r="M203" s="2208"/>
      <c r="N203" s="2208"/>
      <c r="O203" s="2208"/>
      <c r="P203" s="5473"/>
      <c r="Q203" s="5473"/>
      <c r="R203" s="2212"/>
      <c r="S203" s="2217"/>
      <c r="T203" s="2205"/>
      <c r="U203" s="2205"/>
      <c r="V203" s="2057"/>
      <c r="W203" s="2057"/>
      <c r="X203" s="2058" t="str">
        <f>Y202&amp;"-"&amp;AA202</f>
        <v>-</v>
      </c>
      <c r="Y203" s="5475"/>
      <c r="Z203" s="5338"/>
      <c r="AA203" s="5475"/>
      <c r="AB203" s="5338"/>
      <c r="AC203" s="2057"/>
      <c r="AD203" s="2057"/>
      <c r="AE203" s="2058" t="str">
        <f>AF202&amp;"-"&amp;AH202</f>
        <v>45658,6154398148-46022,6156018519</v>
      </c>
      <c r="AF203" s="5475"/>
      <c r="AG203" s="5338"/>
      <c r="AH203" s="5477"/>
      <c r="AI203" s="5338"/>
      <c r="AJ203" s="2057"/>
      <c r="AK203" s="2057"/>
      <c r="AL203" s="2058" t="str">
        <f>AM202&amp;"-"&amp;AO202</f>
        <v>46023,6280787037-46387,6282060185</v>
      </c>
      <c r="AM203" s="5475"/>
      <c r="AN203" s="5338"/>
      <c r="AO203" s="5475"/>
      <c r="AP203" s="5338"/>
      <c r="AQ203" s="2057"/>
      <c r="AR203" s="2057"/>
      <c r="AS203" s="2058" t="str">
        <f>AT202&amp;"-"&amp;AV202</f>
        <v>46388,6278935185-46752,6277662037</v>
      </c>
      <c r="AT203" s="5475"/>
      <c r="AU203" s="5338"/>
      <c r="AV203" s="5475"/>
      <c r="AW203" s="5338"/>
      <c r="AX203" s="2057"/>
      <c r="AY203" s="2057"/>
      <c r="AZ203" s="2058" t="str">
        <f>BA202&amp;"-"&amp;BC202</f>
        <v>46753,6275231481-47118,627662037</v>
      </c>
      <c r="BA203" s="5475"/>
      <c r="BB203" s="5338"/>
      <c r="BC203" s="5475"/>
      <c r="BD203" s="5338"/>
      <c r="BE203" s="2218"/>
      <c r="BF203" s="5543"/>
      <c r="BG203" s="2129"/>
      <c r="BH203" s="2207"/>
      <c r="BI203" s="2207" t="str">
        <f t="shared" si="3"/>
        <v/>
      </c>
      <c r="BJ203" s="2207"/>
      <c r="BK203" s="2207"/>
      <c r="BL203" s="2054">
        <v>0</v>
      </c>
    </row>
    <row r="204" spans="1:64" s="4949" customFormat="1" ht="21" customHeight="1">
      <c r="A204" s="2197"/>
      <c r="B204" s="2197"/>
      <c r="C204" s="2197"/>
      <c r="D204" s="2197"/>
      <c r="E204" s="5470"/>
      <c r="F204" s="5470" t="s">
        <v>92</v>
      </c>
      <c r="G204" s="5470"/>
      <c r="H204" s="5470"/>
      <c r="I204" s="5472"/>
      <c r="J204" s="5471"/>
      <c r="K204" s="2197"/>
      <c r="L204" s="2198"/>
      <c r="M204" s="2208"/>
      <c r="N204" s="2208"/>
      <c r="O204" s="2208"/>
      <c r="P204" s="5473"/>
      <c r="Q204" s="5473"/>
      <c r="R204" s="2210"/>
      <c r="S204" s="3540"/>
      <c r="T204" s="3541" t="s">
        <v>576</v>
      </c>
      <c r="U204" s="3542"/>
      <c r="V204" s="3543"/>
      <c r="W204" s="3544"/>
      <c r="X204" s="3545"/>
      <c r="Y204" s="3546"/>
      <c r="Z204" s="3547"/>
      <c r="AA204" s="3548"/>
      <c r="AB204" s="3549"/>
      <c r="AC204" s="3550"/>
      <c r="AD204" s="3551"/>
      <c r="AE204" s="3552"/>
      <c r="AF204" s="3553"/>
      <c r="AG204" s="3554"/>
      <c r="AH204" s="3555"/>
      <c r="AI204" s="3556"/>
      <c r="AJ204" s="3557"/>
      <c r="AK204" s="3558"/>
      <c r="AL204" s="3559"/>
      <c r="AM204" s="3560"/>
      <c r="AN204" s="3561"/>
      <c r="AO204" s="3562"/>
      <c r="AP204" s="3563"/>
      <c r="AQ204" s="3564"/>
      <c r="AR204" s="3565"/>
      <c r="AS204" s="3566"/>
      <c r="AT204" s="3567"/>
      <c r="AU204" s="3568"/>
      <c r="AV204" s="3569"/>
      <c r="AW204" s="3570"/>
      <c r="AX204" s="3571"/>
      <c r="AY204" s="3572"/>
      <c r="AZ204" s="3573"/>
      <c r="BA204" s="3574"/>
      <c r="BB204" s="3575"/>
      <c r="BC204" s="3576"/>
      <c r="BD204" s="3577"/>
      <c r="BE204" s="3578"/>
      <c r="BF204" s="2206" t="s">
        <v>577</v>
      </c>
      <c r="BG204" s="2129"/>
      <c r="BH204" s="2207"/>
      <c r="BI204" s="2207" t="str">
        <f t="shared" si="3"/>
        <v>Добавить значение признака дифференциации</v>
      </c>
      <c r="BJ204" s="2207"/>
      <c r="BK204" s="2207"/>
      <c r="BL204" s="2054">
        <v>0</v>
      </c>
    </row>
    <row r="205" spans="1:64" s="4950" customFormat="1" ht="23.25" customHeight="1">
      <c r="A205" s="4309"/>
      <c r="B205" s="4309"/>
      <c r="C205" s="4309"/>
      <c r="D205" s="4309"/>
      <c r="E205" s="5470"/>
      <c r="F205" s="5470"/>
      <c r="G205" s="5470"/>
      <c r="H205" s="5470"/>
      <c r="I205" s="5472"/>
      <c r="J205" s="5471" t="str">
        <f>I200&amp;".2"</f>
        <v>1.7.1.1.2</v>
      </c>
      <c r="K205" s="4309"/>
      <c r="L205" s="4310" t="s">
        <v>499</v>
      </c>
      <c r="M205" s="4311"/>
      <c r="N205" s="4311"/>
      <c r="O205" s="4311"/>
      <c r="P205" s="5473"/>
      <c r="Q205" s="5553" t="s">
        <v>104</v>
      </c>
      <c r="R205" s="4312"/>
      <c r="S205" s="4313" t="str">
        <f>$J205</f>
        <v>1.7.1.1.2</v>
      </c>
      <c r="T205" s="4314" t="s">
        <v>500</v>
      </c>
      <c r="U205" s="4315"/>
      <c r="V205" s="5457"/>
      <c r="W205" s="5458"/>
      <c r="X205" s="5458"/>
      <c r="Y205" s="5458"/>
      <c r="Z205" s="5458"/>
      <c r="AA205" s="5458"/>
      <c r="AB205" s="5459"/>
      <c r="AC205" s="5457" t="s">
        <v>612</v>
      </c>
      <c r="AD205" s="5458"/>
      <c r="AE205" s="5458"/>
      <c r="AF205" s="5458"/>
      <c r="AG205" s="5458"/>
      <c r="AH205" s="5458"/>
      <c r="AI205" s="5458"/>
      <c r="AJ205" s="5457"/>
      <c r="AK205" s="5458"/>
      <c r="AL205" s="5458"/>
      <c r="AM205" s="5458"/>
      <c r="AN205" s="5458"/>
      <c r="AO205" s="5458"/>
      <c r="AP205" s="5459"/>
      <c r="AQ205" s="5457"/>
      <c r="AR205" s="5458"/>
      <c r="AS205" s="5458"/>
      <c r="AT205" s="5458"/>
      <c r="AU205" s="5458"/>
      <c r="AV205" s="5458"/>
      <c r="AW205" s="5459"/>
      <c r="AX205" s="5457"/>
      <c r="AY205" s="5458"/>
      <c r="AZ205" s="5458"/>
      <c r="BA205" s="5458"/>
      <c r="BB205" s="5458"/>
      <c r="BC205" s="5458"/>
      <c r="BD205" s="5554"/>
      <c r="BE205" s="5459"/>
      <c r="BF205" s="4316" t="s">
        <v>575</v>
      </c>
      <c r="BG205" s="4317"/>
      <c r="BH205" s="4318"/>
      <c r="BI205" s="4318" t="str">
        <f t="shared" si="3"/>
        <v>Группа потребителей</v>
      </c>
      <c r="BJ205" s="4318"/>
      <c r="BK205" s="4318"/>
      <c r="BL205" s="4319">
        <v>0</v>
      </c>
    </row>
    <row r="206" spans="1:64" s="4951" customFormat="1" ht="23.25" customHeight="1">
      <c r="A206" s="4309"/>
      <c r="B206" s="4309"/>
      <c r="C206" s="4309"/>
      <c r="D206" s="4309"/>
      <c r="E206" s="5470"/>
      <c r="F206" s="5470"/>
      <c r="G206" s="5470"/>
      <c r="H206" s="5470"/>
      <c r="I206" s="5472"/>
      <c r="J206" s="5472" t="str">
        <f>I200&amp;".1"</f>
        <v>1.7.1.1.1</v>
      </c>
      <c r="K206" s="5471" t="str">
        <f>J205&amp;".1"</f>
        <v>1.7.1.1.2.1</v>
      </c>
      <c r="L206" s="4310"/>
      <c r="M206" s="4311"/>
      <c r="N206" s="4311"/>
      <c r="O206" s="4311"/>
      <c r="P206" s="5473"/>
      <c r="Q206" s="5473"/>
      <c r="R206" s="4312">
        <v>1</v>
      </c>
      <c r="S206" s="4313" t="str">
        <f>$K206</f>
        <v>1.7.1.1.2.1</v>
      </c>
      <c r="T206" s="4321" t="s">
        <v>568</v>
      </c>
      <c r="U206" s="4315"/>
      <c r="V206" s="4322"/>
      <c r="W206" s="4322"/>
      <c r="X206" s="4323"/>
      <c r="Y206" s="5474"/>
      <c r="Z206" s="5338" t="s">
        <v>66</v>
      </c>
      <c r="AA206" s="5474"/>
      <c r="AB206" s="5338" t="s">
        <v>66</v>
      </c>
      <c r="AC206" s="4322">
        <v>61.1</v>
      </c>
      <c r="AD206" s="4322"/>
      <c r="AE206" s="4323"/>
      <c r="AF206" s="5474">
        <v>45658.689421296294</v>
      </c>
      <c r="AG206" s="5338" t="s">
        <v>66</v>
      </c>
      <c r="AH206" s="5476">
        <v>46022.689618055556</v>
      </c>
      <c r="AI206" s="5338" t="s">
        <v>66</v>
      </c>
      <c r="AJ206" s="4322">
        <v>58.84</v>
      </c>
      <c r="AK206" s="4322"/>
      <c r="AL206" s="4323"/>
      <c r="AM206" s="5474">
        <v>46023.69085648148</v>
      </c>
      <c r="AN206" s="5338" t="s">
        <v>66</v>
      </c>
      <c r="AO206" s="5474">
        <v>46387.691099537034</v>
      </c>
      <c r="AP206" s="5338" t="s">
        <v>66</v>
      </c>
      <c r="AQ206" s="4322">
        <v>60.5</v>
      </c>
      <c r="AR206" s="4322"/>
      <c r="AS206" s="4323"/>
      <c r="AT206" s="5474">
        <v>46388.691481481481</v>
      </c>
      <c r="AU206" s="5338" t="s">
        <v>66</v>
      </c>
      <c r="AV206" s="5474">
        <v>46752.691631944443</v>
      </c>
      <c r="AW206" s="5338" t="s">
        <v>66</v>
      </c>
      <c r="AX206" s="4322">
        <v>62.23</v>
      </c>
      <c r="AY206" s="4322"/>
      <c r="AZ206" s="4323"/>
      <c r="BA206" s="5474">
        <v>46753.692002314812</v>
      </c>
      <c r="BB206" s="5338" t="s">
        <v>66</v>
      </c>
      <c r="BC206" s="5474">
        <v>47118.692083333335</v>
      </c>
      <c r="BD206" s="5555" t="s">
        <v>66</v>
      </c>
      <c r="BE206" s="4324"/>
      <c r="BF20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06" s="4317" t="e">
        <f ca="1">STRCHECKDATE(V207:BE207)</f>
        <v>#NAME?</v>
      </c>
      <c r="BH206" s="4318"/>
      <c r="BI206" s="4318" t="str">
        <f t="shared" si="3"/>
        <v>с НДС</v>
      </c>
      <c r="BJ206" s="4318"/>
      <c r="BK206" s="4318"/>
      <c r="BL206" s="4319">
        <v>0</v>
      </c>
    </row>
    <row r="207" spans="1:64" s="4952" customFormat="1" ht="14.25" customHeight="1">
      <c r="A207" s="4309"/>
      <c r="B207" s="4309"/>
      <c r="C207" s="4309"/>
      <c r="D207" s="4309"/>
      <c r="E207" s="5470"/>
      <c r="F207" s="5470"/>
      <c r="G207" s="5470"/>
      <c r="H207" s="5470"/>
      <c r="I207" s="5472"/>
      <c r="J207" s="5472" t="str">
        <f>I200&amp;".1"</f>
        <v>1.7.1.1.1</v>
      </c>
      <c r="K207" s="5471"/>
      <c r="L207" s="4310"/>
      <c r="M207" s="4311"/>
      <c r="N207" s="4311"/>
      <c r="O207" s="4311"/>
      <c r="P207" s="5473"/>
      <c r="Q207" s="5473"/>
      <c r="R207" s="4312"/>
      <c r="S207" s="4326"/>
      <c r="T207" s="4315"/>
      <c r="U207" s="4315"/>
      <c r="V207" s="4327"/>
      <c r="W207" s="4327"/>
      <c r="X207" s="4328" t="str">
        <f>Y206&amp;"-"&amp;AA206</f>
        <v>-</v>
      </c>
      <c r="Y207" s="5475"/>
      <c r="Z207" s="5338"/>
      <c r="AA207" s="5475"/>
      <c r="AB207" s="5338"/>
      <c r="AC207" s="4327"/>
      <c r="AD207" s="4327"/>
      <c r="AE207" s="4328" t="str">
        <f>AF206&amp;"-"&amp;AH206</f>
        <v>45658,6894212963-46022,6896180556</v>
      </c>
      <c r="AF207" s="5475"/>
      <c r="AG207" s="5338"/>
      <c r="AH207" s="5477"/>
      <c r="AI207" s="5338"/>
      <c r="AJ207" s="4327"/>
      <c r="AK207" s="4327"/>
      <c r="AL207" s="4328" t="str">
        <f>AM206&amp;"-"&amp;AO206</f>
        <v>46023,6908564815-46387,691099537</v>
      </c>
      <c r="AM207" s="5475"/>
      <c r="AN207" s="5338"/>
      <c r="AO207" s="5475"/>
      <c r="AP207" s="5338"/>
      <c r="AQ207" s="4327"/>
      <c r="AR207" s="4327"/>
      <c r="AS207" s="4328" t="str">
        <f>AT206&amp;"-"&amp;AV206</f>
        <v>46388,6914814815-46752,6916319444</v>
      </c>
      <c r="AT207" s="5475"/>
      <c r="AU207" s="5338"/>
      <c r="AV207" s="5475"/>
      <c r="AW207" s="5338"/>
      <c r="AX207" s="4327"/>
      <c r="AY207" s="4327"/>
      <c r="AZ207" s="4328" t="str">
        <f>BA206&amp;"-"&amp;BC206</f>
        <v>46753,6920023148-47118,6920833333</v>
      </c>
      <c r="BA207" s="5475"/>
      <c r="BB207" s="5338"/>
      <c r="BC207" s="5475"/>
      <c r="BD207" s="5555"/>
      <c r="BE207" s="4329"/>
      <c r="BF207" s="5543"/>
      <c r="BG207" s="4317"/>
      <c r="BH207" s="4318"/>
      <c r="BI207" s="4318" t="str">
        <f t="shared" si="3"/>
        <v/>
      </c>
      <c r="BJ207" s="4318"/>
      <c r="BK207" s="4318"/>
      <c r="BL207" s="4319">
        <v>0</v>
      </c>
    </row>
    <row r="208" spans="1:64" s="4953" customFormat="1" ht="21" customHeight="1">
      <c r="A208" s="4309"/>
      <c r="B208" s="4309"/>
      <c r="C208" s="4309"/>
      <c r="D208" s="4309"/>
      <c r="E208" s="5470"/>
      <c r="F208" s="5470"/>
      <c r="G208" s="5470"/>
      <c r="H208" s="5470"/>
      <c r="I208" s="5472"/>
      <c r="J208" s="5471" t="str">
        <f>I200&amp;".1"</f>
        <v>1.7.1.1.1</v>
      </c>
      <c r="K208" s="4309"/>
      <c r="L208" s="4310"/>
      <c r="M208" s="4311"/>
      <c r="N208" s="4311"/>
      <c r="O208" s="4311"/>
      <c r="P208" s="5473"/>
      <c r="Q208" s="5473"/>
      <c r="R208" s="4331"/>
      <c r="S208" s="4954"/>
      <c r="T208" s="4955" t="s">
        <v>576</v>
      </c>
      <c r="U208" s="4956"/>
      <c r="V208" s="4957"/>
      <c r="W208" s="4958"/>
      <c r="X208" s="4959"/>
      <c r="Y208" s="4960"/>
      <c r="Z208" s="4961"/>
      <c r="AA208" s="4962"/>
      <c r="AB208" s="4963"/>
      <c r="AC208" s="4964"/>
      <c r="AD208" s="4965"/>
      <c r="AE208" s="4966"/>
      <c r="AF208" s="4967"/>
      <c r="AG208" s="4968"/>
      <c r="AH208" s="4969"/>
      <c r="AI208" s="4970"/>
      <c r="AJ208" s="4971"/>
      <c r="AK208" s="4972"/>
      <c r="AL208" s="4973"/>
      <c r="AM208" s="4974"/>
      <c r="AN208" s="4975"/>
      <c r="AO208" s="4976"/>
      <c r="AP208" s="4977"/>
      <c r="AQ208" s="4978"/>
      <c r="AR208" s="4979"/>
      <c r="AS208" s="4980"/>
      <c r="AT208" s="4981"/>
      <c r="AU208" s="4982"/>
      <c r="AV208" s="4983"/>
      <c r="AW208" s="4984"/>
      <c r="AX208" s="4985"/>
      <c r="AY208" s="4986"/>
      <c r="AZ208" s="4987"/>
      <c r="BA208" s="4988"/>
      <c r="BB208" s="4989"/>
      <c r="BC208" s="4990"/>
      <c r="BD208" s="4991"/>
      <c r="BE208" s="4992"/>
      <c r="BF208" s="4371" t="s">
        <v>577</v>
      </c>
      <c r="BG208" s="4317"/>
      <c r="BH208" s="4318"/>
      <c r="BI208" s="4318" t="str">
        <f t="shared" si="3"/>
        <v>Добавить значение признака дифференциации</v>
      </c>
      <c r="BJ208" s="4318"/>
      <c r="BK208" s="4318"/>
      <c r="BL208" s="4319">
        <v>0</v>
      </c>
    </row>
    <row r="209" spans="1:64" s="4993" customFormat="1" ht="21" customHeight="1">
      <c r="A209" s="2197"/>
      <c r="B209" s="2197"/>
      <c r="C209" s="2197"/>
      <c r="D209" s="2197"/>
      <c r="E209" s="5470"/>
      <c r="F209" s="5470" t="s">
        <v>92</v>
      </c>
      <c r="G209" s="5470"/>
      <c r="H209" s="5470"/>
      <c r="I209" s="5471"/>
      <c r="J209" s="2197"/>
      <c r="K209" s="2197"/>
      <c r="L209" s="2198"/>
      <c r="M209" s="2208"/>
      <c r="N209" s="2208"/>
      <c r="O209" s="2208"/>
      <c r="P209" s="5473"/>
      <c r="Q209" s="2209"/>
      <c r="R209" s="2210"/>
      <c r="S209" s="3579"/>
      <c r="T209" s="3580" t="s">
        <v>505</v>
      </c>
      <c r="U209" s="3581"/>
      <c r="V209" s="3582"/>
      <c r="W209" s="3583"/>
      <c r="X209" s="3584"/>
      <c r="Y209" s="3585"/>
      <c r="Z209" s="3586"/>
      <c r="AA209" s="3587"/>
      <c r="AB209" s="3588"/>
      <c r="AC209" s="3589"/>
      <c r="AD209" s="3590"/>
      <c r="AE209" s="3591"/>
      <c r="AF209" s="3592"/>
      <c r="AG209" s="3593"/>
      <c r="AH209" s="3594"/>
      <c r="AI209" s="3595"/>
      <c r="AJ209" s="3596"/>
      <c r="AK209" s="3597"/>
      <c r="AL209" s="3598"/>
      <c r="AM209" s="3599"/>
      <c r="AN209" s="3600"/>
      <c r="AO209" s="3601"/>
      <c r="AP209" s="3602"/>
      <c r="AQ209" s="3603"/>
      <c r="AR209" s="3604"/>
      <c r="AS209" s="3605"/>
      <c r="AT209" s="3606"/>
      <c r="AU209" s="3607"/>
      <c r="AV209" s="3608"/>
      <c r="AW209" s="3609"/>
      <c r="AX209" s="3610"/>
      <c r="AY209" s="3611"/>
      <c r="AZ209" s="3612"/>
      <c r="BA209" s="3613"/>
      <c r="BB209" s="3614"/>
      <c r="BC209" s="3615"/>
      <c r="BD209" s="3616"/>
      <c r="BE209" s="3617"/>
      <c r="BF209" s="3618"/>
      <c r="BG209" s="2129"/>
      <c r="BH209" s="2207"/>
      <c r="BI209" s="2207" t="str">
        <f t="shared" si="3"/>
        <v>Добавить группу потребителей</v>
      </c>
      <c r="BJ209" s="2207"/>
      <c r="BK209" s="2207"/>
      <c r="BL209" s="2054">
        <v>0</v>
      </c>
    </row>
    <row r="210" spans="1:64" s="4994" customFormat="1" ht="21" customHeight="1">
      <c r="A210" s="2197"/>
      <c r="B210" s="2197"/>
      <c r="C210" s="2197"/>
      <c r="D210" s="2197"/>
      <c r="E210" s="5470"/>
      <c r="F210" s="5470" t="s">
        <v>92</v>
      </c>
      <c r="G210" s="5470"/>
      <c r="H210" s="5469"/>
      <c r="I210" s="2197"/>
      <c r="J210" s="2197"/>
      <c r="K210" s="2197"/>
      <c r="L210" s="2198"/>
      <c r="M210" s="2199"/>
      <c r="N210" s="2199"/>
      <c r="O210" s="2123"/>
      <c r="P210" s="2298"/>
      <c r="Q210" s="2299"/>
      <c r="R210" s="2300"/>
      <c r="S210" s="3619"/>
      <c r="T210" s="3620" t="s">
        <v>578</v>
      </c>
      <c r="U210" s="3621"/>
      <c r="V210" s="3622"/>
      <c r="W210" s="3623"/>
      <c r="X210" s="3624"/>
      <c r="Y210" s="3625"/>
      <c r="Z210" s="3626"/>
      <c r="AA210" s="3627"/>
      <c r="AB210" s="3628"/>
      <c r="AC210" s="3629"/>
      <c r="AD210" s="3630"/>
      <c r="AE210" s="3631"/>
      <c r="AF210" s="3632"/>
      <c r="AG210" s="3633"/>
      <c r="AH210" s="3634"/>
      <c r="AI210" s="3635"/>
      <c r="AJ210" s="3636"/>
      <c r="AK210" s="3637"/>
      <c r="AL210" s="3638"/>
      <c r="AM210" s="3639"/>
      <c r="AN210" s="3640"/>
      <c r="AO210" s="3641"/>
      <c r="AP210" s="3642"/>
      <c r="AQ210" s="3643"/>
      <c r="AR210" s="3644"/>
      <c r="AS210" s="3645"/>
      <c r="AT210" s="3646"/>
      <c r="AU210" s="3647"/>
      <c r="AV210" s="3648"/>
      <c r="AW210" s="3649"/>
      <c r="AX210" s="3650"/>
      <c r="AY210" s="3651"/>
      <c r="AZ210" s="3652"/>
      <c r="BA210" s="3653"/>
      <c r="BB210" s="3654"/>
      <c r="BC210" s="3655"/>
      <c r="BD210" s="3656"/>
      <c r="BE210" s="3657"/>
      <c r="BF210" s="3658"/>
      <c r="BG210" s="2129"/>
      <c r="BH210" s="2207"/>
      <c r="BI210" s="2207" t="str">
        <f t="shared" si="3"/>
        <v>Добавить наименование признака дифференциации</v>
      </c>
      <c r="BJ210" s="2207"/>
      <c r="BK210" s="2207"/>
      <c r="BL210" s="2054">
        <v>0</v>
      </c>
    </row>
    <row r="211" spans="1:64" s="4995" customFormat="1" ht="14.25" customHeight="1">
      <c r="A211" s="2938"/>
      <c r="B211" s="2938"/>
      <c r="C211" s="2938"/>
      <c r="D211" s="2938"/>
      <c r="E211" s="5470"/>
      <c r="F211" s="5469" t="s">
        <v>92</v>
      </c>
      <c r="G211" s="2938"/>
      <c r="H211" s="2938"/>
      <c r="I211" s="2938"/>
      <c r="J211" s="2938"/>
      <c r="K211" s="2938"/>
      <c r="L211" s="2939"/>
      <c r="M211" s="2940"/>
      <c r="N211" s="2940"/>
      <c r="O211" s="2129"/>
      <c r="P211" s="2941"/>
      <c r="Q211" s="2942"/>
      <c r="R211" s="2941"/>
      <c r="S211" s="2943"/>
      <c r="T211" s="2944" t="s">
        <v>312</v>
      </c>
      <c r="U211" s="2122"/>
      <c r="V211" s="2122"/>
      <c r="W211" s="2122"/>
      <c r="X211" s="2122"/>
      <c r="Y211" s="2122"/>
      <c r="Z211" s="2122"/>
      <c r="AA211" s="2122"/>
      <c r="AB211" s="2122"/>
      <c r="AC211" s="2122"/>
      <c r="AD211" s="2122"/>
      <c r="AE211" s="2122"/>
      <c r="AF211" s="2122"/>
      <c r="AG211" s="2122"/>
      <c r="AH211" s="2122"/>
      <c r="AI211" s="2122"/>
      <c r="AJ211" s="2122"/>
      <c r="AK211" s="2122"/>
      <c r="AL211" s="2122"/>
      <c r="AM211" s="2122"/>
      <c r="AN211" s="2122"/>
      <c r="AO211" s="2122"/>
      <c r="AP211" s="2122"/>
      <c r="AQ211" s="2122"/>
      <c r="AR211" s="2122"/>
      <c r="AS211" s="2122"/>
      <c r="AT211" s="2122"/>
      <c r="AU211" s="2122"/>
      <c r="AV211" s="2122"/>
      <c r="AW211" s="2122"/>
      <c r="AX211" s="2122"/>
      <c r="AY211" s="2122"/>
      <c r="AZ211" s="2122"/>
      <c r="BA211" s="2122"/>
      <c r="BB211" s="2122"/>
      <c r="BC211" s="2122"/>
      <c r="BD211" s="2122"/>
      <c r="BE211" s="2122"/>
      <c r="BF211" s="2122"/>
      <c r="BG211" s="2129"/>
      <c r="BH211" s="2207"/>
      <c r="BI211" s="2207" t="str">
        <f t="shared" si="3"/>
        <v>Добавить централизованную систему для дифференциации</v>
      </c>
      <c r="BJ211" s="2207"/>
      <c r="BK211" s="2207"/>
      <c r="BL211" s="2129">
        <v>0</v>
      </c>
    </row>
    <row r="212" spans="1:64" s="4996" customFormat="1" ht="23.25" customHeight="1">
      <c r="A212" s="2197"/>
      <c r="B212" s="2197" t="s">
        <v>344</v>
      </c>
      <c r="C212" s="2197"/>
      <c r="D212" s="2197"/>
      <c r="E212" s="5470"/>
      <c r="F212" s="5469" t="s">
        <v>129</v>
      </c>
      <c r="G212" s="2197"/>
      <c r="H212" s="2197"/>
      <c r="I212" s="2197"/>
      <c r="J212" s="2197"/>
      <c r="K212" s="2197"/>
      <c r="L212" s="2198"/>
      <c r="M212" s="2199"/>
      <c r="N212" s="2199"/>
      <c r="O212" s="2199"/>
      <c r="P212" s="2698"/>
      <c r="Q212" s="2201"/>
      <c r="R212" s="2202"/>
      <c r="S212" s="2203" t="str">
        <f>INDEX(PT_DIFFERENTIATION_NUM_TER,MATCH(B212,PT_DIFFERENTIATION_TER_ID,0))</f>
        <v>1.8</v>
      </c>
      <c r="T212" s="2699" t="s">
        <v>490</v>
      </c>
      <c r="U212" s="2205"/>
      <c r="V212" s="5463"/>
      <c r="W212" s="5464"/>
      <c r="X212" s="5464"/>
      <c r="Y212" s="5464"/>
      <c r="Z212" s="5464"/>
      <c r="AA212" s="5464"/>
      <c r="AB212" s="5465"/>
      <c r="AC212" s="5463" t="str">
        <f>INDEX(PT_DIFFERENTIATION_TER,MATCH(B212,PT_DIFFERENTIATION_TER_ID,0))</f>
        <v>Территория 8</v>
      </c>
      <c r="AD212" s="5464"/>
      <c r="AE212" s="5464"/>
      <c r="AF212" s="5464"/>
      <c r="AG212" s="5464"/>
      <c r="AH212" s="5464"/>
      <c r="AI212" s="5464"/>
      <c r="AJ212" s="5463"/>
      <c r="AK212" s="5464"/>
      <c r="AL212" s="5464"/>
      <c r="AM212" s="5464"/>
      <c r="AN212" s="5464"/>
      <c r="AO212" s="5464"/>
      <c r="AP212" s="5465"/>
      <c r="AQ212" s="5463"/>
      <c r="AR212" s="5464"/>
      <c r="AS212" s="5464"/>
      <c r="AT212" s="5464"/>
      <c r="AU212" s="5464"/>
      <c r="AV212" s="5464"/>
      <c r="AW212" s="5465"/>
      <c r="AX212" s="5463"/>
      <c r="AY212" s="5464"/>
      <c r="AZ212" s="5464"/>
      <c r="BA212" s="5464"/>
      <c r="BB212" s="5464"/>
      <c r="BC212" s="5464"/>
      <c r="BD212" s="5465"/>
      <c r="BE212" s="5465"/>
      <c r="BF212" s="2206" t="s">
        <v>491</v>
      </c>
      <c r="BG212" s="2129"/>
      <c r="BH212" s="2207"/>
      <c r="BI212" s="2207" t="str">
        <f t="shared" si="3"/>
        <v>Территория действия тарифа</v>
      </c>
      <c r="BJ212" s="2207"/>
      <c r="BK212" s="2207"/>
      <c r="BL212" s="2054">
        <v>0</v>
      </c>
    </row>
    <row r="213" spans="1:64" s="4997" customFormat="1" ht="23.25" customHeight="1">
      <c r="A213" s="2197"/>
      <c r="B213" s="2197"/>
      <c r="C213" s="2197" t="s">
        <v>345</v>
      </c>
      <c r="D213" s="2197"/>
      <c r="E213" s="5470"/>
      <c r="F213" s="5470" t="s">
        <v>93</v>
      </c>
      <c r="G213" s="5469">
        <v>1</v>
      </c>
      <c r="H213" s="2197"/>
      <c r="I213" s="2197"/>
      <c r="J213" s="2197"/>
      <c r="K213" s="2197"/>
      <c r="L213" s="2198"/>
      <c r="M213" s="2199"/>
      <c r="N213" s="2199"/>
      <c r="O213" s="2199"/>
      <c r="P213" s="2200"/>
      <c r="Q213" s="2201"/>
      <c r="R213" s="2202"/>
      <c r="S213" s="2203" t="str">
        <f>INDEX(PT_DIFFERENTIATION_NUM_CS,MATCH(C213,PT_DIFFERENTIATION_CS_ID,0))</f>
        <v>1.8.1</v>
      </c>
      <c r="T213" s="2204" t="s">
        <v>606</v>
      </c>
      <c r="U213" s="2205"/>
      <c r="V213" s="5463"/>
      <c r="W213" s="5464"/>
      <c r="X213" s="5464"/>
      <c r="Y213" s="5464"/>
      <c r="Z213" s="5464"/>
      <c r="AA213" s="5464"/>
      <c r="AB213" s="5465"/>
      <c r="AC213" s="5463" t="str">
        <f>INDEX(PT_DIFFERENTIATION_CS,MATCH(C213,PT_DIFFERENTIATION_CS_ID,0))</f>
        <v>с. Реттиховка</v>
      </c>
      <c r="AD213" s="5464"/>
      <c r="AE213" s="5464"/>
      <c r="AF213" s="5464"/>
      <c r="AG213" s="5464"/>
      <c r="AH213" s="5464"/>
      <c r="AI213" s="5464"/>
      <c r="AJ213" s="5463"/>
      <c r="AK213" s="5464"/>
      <c r="AL213" s="5464"/>
      <c r="AM213" s="5464"/>
      <c r="AN213" s="5464"/>
      <c r="AO213" s="5464"/>
      <c r="AP213" s="5465"/>
      <c r="AQ213" s="5463"/>
      <c r="AR213" s="5464"/>
      <c r="AS213" s="5464"/>
      <c r="AT213" s="5464"/>
      <c r="AU213" s="5464"/>
      <c r="AV213" s="5464"/>
      <c r="AW213" s="5465"/>
      <c r="AX213" s="5463"/>
      <c r="AY213" s="5464"/>
      <c r="AZ213" s="5464"/>
      <c r="BA213" s="5464"/>
      <c r="BB213" s="5464"/>
      <c r="BC213" s="5464"/>
      <c r="BD213" s="5465"/>
      <c r="BE213" s="5465"/>
      <c r="BF213" s="2206" t="s">
        <v>607</v>
      </c>
      <c r="BG213" s="2129"/>
      <c r="BH213" s="2207"/>
      <c r="BI213" s="2207" t="str">
        <f t="shared" si="3"/>
        <v>Наименование централизованной системы водоотведения</v>
      </c>
      <c r="BJ213" s="2207"/>
      <c r="BK213" s="2207"/>
      <c r="BL213" s="2054">
        <v>0</v>
      </c>
    </row>
    <row r="214" spans="1:64" s="4998" customFormat="1" ht="23.25" customHeight="1">
      <c r="A214" s="2197"/>
      <c r="B214" s="2197"/>
      <c r="C214" s="2197"/>
      <c r="D214" s="2197"/>
      <c r="E214" s="5470"/>
      <c r="F214" s="5470" t="s">
        <v>93</v>
      </c>
      <c r="G214" s="5470"/>
      <c r="H214" s="5470"/>
      <c r="I214" s="5471" t="str">
        <f>S213&amp;".1"</f>
        <v>1.8.1.1</v>
      </c>
      <c r="J214" s="2197"/>
      <c r="K214" s="2197"/>
      <c r="L214" s="2198"/>
      <c r="M214" s="2208"/>
      <c r="N214" s="2208"/>
      <c r="O214" s="2208"/>
      <c r="P214" s="5473">
        <v>1</v>
      </c>
      <c r="Q214" s="2209"/>
      <c r="R214" s="2210"/>
      <c r="S214" s="2203" t="str">
        <f>$I214</f>
        <v>1.8.1.1</v>
      </c>
      <c r="T214" s="2211" t="s">
        <v>573</v>
      </c>
      <c r="U214" s="2205"/>
      <c r="V214" s="5537"/>
      <c r="W214" s="5538"/>
      <c r="X214" s="5538"/>
      <c r="Y214" s="5538"/>
      <c r="Z214" s="5538"/>
      <c r="AA214" s="5538"/>
      <c r="AB214" s="5539"/>
      <c r="AC214" s="5540"/>
      <c r="AD214" s="5541"/>
      <c r="AE214" s="5541"/>
      <c r="AF214" s="5541"/>
      <c r="AG214" s="5541"/>
      <c r="AH214" s="5541"/>
      <c r="AI214" s="5541"/>
      <c r="AJ214" s="5537"/>
      <c r="AK214" s="5538"/>
      <c r="AL214" s="5538"/>
      <c r="AM214" s="5538"/>
      <c r="AN214" s="5538"/>
      <c r="AO214" s="5538"/>
      <c r="AP214" s="5539"/>
      <c r="AQ214" s="5537"/>
      <c r="AR214" s="5538"/>
      <c r="AS214" s="5538"/>
      <c r="AT214" s="5538"/>
      <c r="AU214" s="5538"/>
      <c r="AV214" s="5538"/>
      <c r="AW214" s="5539"/>
      <c r="AX214" s="5537"/>
      <c r="AY214" s="5538"/>
      <c r="AZ214" s="5538"/>
      <c r="BA214" s="5538"/>
      <c r="BB214" s="5538"/>
      <c r="BC214" s="5538"/>
      <c r="BD214" s="5539"/>
      <c r="BE214" s="5542"/>
      <c r="BF214" s="2206" t="s">
        <v>574</v>
      </c>
      <c r="BG214" s="2129"/>
      <c r="BH214" s="2207"/>
      <c r="BI214" s="2207" t="str">
        <f t="shared" si="3"/>
        <v>Наименование признака дифференциации</v>
      </c>
      <c r="BJ214" s="2207"/>
      <c r="BK214" s="2207"/>
      <c r="BL214" s="2054">
        <v>0</v>
      </c>
    </row>
    <row r="215" spans="1:64" s="4999" customFormat="1" ht="23.25" customHeight="1">
      <c r="A215" s="2197"/>
      <c r="B215" s="2197"/>
      <c r="C215" s="2197"/>
      <c r="D215" s="2197"/>
      <c r="E215" s="5470"/>
      <c r="F215" s="5470" t="s">
        <v>93</v>
      </c>
      <c r="G215" s="5470"/>
      <c r="H215" s="5470"/>
      <c r="I215" s="5472"/>
      <c r="J215" s="5471" t="str">
        <f>I214&amp;".1"</f>
        <v>1.8.1.1.1</v>
      </c>
      <c r="K215" s="2197"/>
      <c r="L215" s="2198" t="s">
        <v>499</v>
      </c>
      <c r="M215" s="2208"/>
      <c r="N215" s="2208"/>
      <c r="O215" s="2208"/>
      <c r="P215" s="5473"/>
      <c r="Q215" s="5473">
        <v>1</v>
      </c>
      <c r="R215" s="2212"/>
      <c r="S215" s="2203" t="str">
        <f>$J215</f>
        <v>1.8.1.1.1</v>
      </c>
      <c r="T215" s="2213" t="s">
        <v>500</v>
      </c>
      <c r="U215" s="2205"/>
      <c r="V215" s="5457"/>
      <c r="W215" s="5458"/>
      <c r="X215" s="5458"/>
      <c r="Y215" s="5458"/>
      <c r="Z215" s="5458"/>
      <c r="AA215" s="5458"/>
      <c r="AB215" s="5459"/>
      <c r="AC215" s="5457" t="s">
        <v>611</v>
      </c>
      <c r="AD215" s="5458"/>
      <c r="AE215" s="5458"/>
      <c r="AF215" s="5458"/>
      <c r="AG215" s="5458"/>
      <c r="AH215" s="5458"/>
      <c r="AI215" s="5458"/>
      <c r="AJ215" s="5457"/>
      <c r="AK215" s="5458"/>
      <c r="AL215" s="5458"/>
      <c r="AM215" s="5458"/>
      <c r="AN215" s="5458"/>
      <c r="AO215" s="5458"/>
      <c r="AP215" s="5459"/>
      <c r="AQ215" s="5457"/>
      <c r="AR215" s="5458"/>
      <c r="AS215" s="5458"/>
      <c r="AT215" s="5458"/>
      <c r="AU215" s="5458"/>
      <c r="AV215" s="5458"/>
      <c r="AW215" s="5459"/>
      <c r="AX215" s="5457"/>
      <c r="AY215" s="5458"/>
      <c r="AZ215" s="5458"/>
      <c r="BA215" s="5458"/>
      <c r="BB215" s="5458"/>
      <c r="BC215" s="5458"/>
      <c r="BD215" s="5459"/>
      <c r="BE215" s="5459"/>
      <c r="BF215" s="2214" t="s">
        <v>575</v>
      </c>
      <c r="BG215" s="2129"/>
      <c r="BH215" s="2207"/>
      <c r="BI215" s="2207" t="str">
        <f t="shared" si="3"/>
        <v>Группа потребителей</v>
      </c>
      <c r="BJ215" s="2207"/>
      <c r="BK215" s="2207"/>
      <c r="BL215" s="2054">
        <v>0</v>
      </c>
    </row>
    <row r="216" spans="1:64" s="5000" customFormat="1" ht="23.25" customHeight="1">
      <c r="A216" s="2197"/>
      <c r="B216" s="2197"/>
      <c r="C216" s="2197"/>
      <c r="D216" s="2197"/>
      <c r="E216" s="5470"/>
      <c r="F216" s="5470" t="s">
        <v>93</v>
      </c>
      <c r="G216" s="5470"/>
      <c r="H216" s="5470"/>
      <c r="I216" s="5472"/>
      <c r="J216" s="5472"/>
      <c r="K216" s="5471" t="str">
        <f>J215&amp;".1"</f>
        <v>1.8.1.1.1.1</v>
      </c>
      <c r="L216" s="2198"/>
      <c r="M216" s="2208"/>
      <c r="N216" s="2208"/>
      <c r="O216" s="2208"/>
      <c r="P216" s="5473"/>
      <c r="Q216" s="5473"/>
      <c r="R216" s="2212">
        <v>1</v>
      </c>
      <c r="S216" s="2203" t="str">
        <f>$K216</f>
        <v>1.8.1.1.1.1</v>
      </c>
      <c r="T216" s="2215" t="s">
        <v>569</v>
      </c>
      <c r="U216" s="2205"/>
      <c r="V216" s="2055"/>
      <c r="W216" s="2055"/>
      <c r="X216" s="2056"/>
      <c r="Y216" s="5474"/>
      <c r="Z216" s="5338" t="s">
        <v>66</v>
      </c>
      <c r="AA216" s="5474"/>
      <c r="AB216" s="5338" t="s">
        <v>66</v>
      </c>
      <c r="AC216" s="2055">
        <v>142.76</v>
      </c>
      <c r="AD216" s="2055"/>
      <c r="AE216" s="2056"/>
      <c r="AF216" s="5474">
        <v>45658.615752314814</v>
      </c>
      <c r="AG216" s="5338" t="s">
        <v>66</v>
      </c>
      <c r="AH216" s="5476">
        <v>46022.615856481483</v>
      </c>
      <c r="AI216" s="5338" t="s">
        <v>66</v>
      </c>
      <c r="AJ216" s="2055">
        <v>143.88999999999999</v>
      </c>
      <c r="AK216" s="2055"/>
      <c r="AL216" s="2056"/>
      <c r="AM216" s="5474">
        <v>46023.626435185186</v>
      </c>
      <c r="AN216" s="5338" t="s">
        <v>66</v>
      </c>
      <c r="AO216" s="5474">
        <v>46387.626585648148</v>
      </c>
      <c r="AP216" s="5338" t="s">
        <v>66</v>
      </c>
      <c r="AQ216" s="2055">
        <v>148.09</v>
      </c>
      <c r="AR216" s="2055"/>
      <c r="AS216" s="2056"/>
      <c r="AT216" s="5474">
        <v>46388.626782407409</v>
      </c>
      <c r="AU216" s="5338" t="s">
        <v>66</v>
      </c>
      <c r="AV216" s="5474">
        <v>46752.627002314817</v>
      </c>
      <c r="AW216" s="5338" t="s">
        <v>66</v>
      </c>
      <c r="AX216" s="2055">
        <v>152.41</v>
      </c>
      <c r="AY216" s="2055"/>
      <c r="AZ216" s="2056"/>
      <c r="BA216" s="5474">
        <v>46753.627199074072</v>
      </c>
      <c r="BB216" s="5338" t="s">
        <v>66</v>
      </c>
      <c r="BC216" s="5474">
        <v>47118.627291666664</v>
      </c>
      <c r="BD216" s="5338" t="s">
        <v>66</v>
      </c>
      <c r="BE216" s="2216"/>
      <c r="BF21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16" s="2129" t="e">
        <f ca="1">STRCHECKDATE(V217:BE217)</f>
        <v>#NAME?</v>
      </c>
      <c r="BH216" s="2207"/>
      <c r="BI216" s="2207" t="str">
        <f t="shared" si="3"/>
        <v>без НДС</v>
      </c>
      <c r="BJ216" s="2207"/>
      <c r="BK216" s="2207"/>
      <c r="BL216" s="2054">
        <v>0</v>
      </c>
    </row>
    <row r="217" spans="1:64" s="5001" customFormat="1" ht="14.25" customHeight="1">
      <c r="A217" s="2197"/>
      <c r="B217" s="2197"/>
      <c r="C217" s="2197"/>
      <c r="D217" s="2197"/>
      <c r="E217" s="5470"/>
      <c r="F217" s="5470" t="s">
        <v>93</v>
      </c>
      <c r="G217" s="5470"/>
      <c r="H217" s="5470"/>
      <c r="I217" s="5472"/>
      <c r="J217" s="5472"/>
      <c r="K217" s="5471"/>
      <c r="L217" s="2198"/>
      <c r="M217" s="2208"/>
      <c r="N217" s="2208"/>
      <c r="O217" s="2208"/>
      <c r="P217" s="5473"/>
      <c r="Q217" s="5473"/>
      <c r="R217" s="2212"/>
      <c r="S217" s="2217"/>
      <c r="T217" s="2205"/>
      <c r="U217" s="2205"/>
      <c r="V217" s="2057"/>
      <c r="W217" s="2057"/>
      <c r="X217" s="2058" t="str">
        <f>Y216&amp;"-"&amp;AA216</f>
        <v>-</v>
      </c>
      <c r="Y217" s="5475"/>
      <c r="Z217" s="5338"/>
      <c r="AA217" s="5475"/>
      <c r="AB217" s="5338"/>
      <c r="AC217" s="2057"/>
      <c r="AD217" s="2057"/>
      <c r="AE217" s="2058" t="str">
        <f>AF216&amp;"-"&amp;AH216</f>
        <v>45658,6157523148-46022,6158564814</v>
      </c>
      <c r="AF217" s="5475"/>
      <c r="AG217" s="5338"/>
      <c r="AH217" s="5477"/>
      <c r="AI217" s="5338"/>
      <c r="AJ217" s="2057"/>
      <c r="AK217" s="2057"/>
      <c r="AL217" s="2058" t="str">
        <f>AM216&amp;"-"&amp;AO216</f>
        <v>46023,6264351852-46387,6265856481</v>
      </c>
      <c r="AM217" s="5475"/>
      <c r="AN217" s="5338"/>
      <c r="AO217" s="5475"/>
      <c r="AP217" s="5338"/>
      <c r="AQ217" s="2057"/>
      <c r="AR217" s="2057"/>
      <c r="AS217" s="2058" t="str">
        <f>AT216&amp;"-"&amp;AV216</f>
        <v>46388,6267824074-46752,6270023148</v>
      </c>
      <c r="AT217" s="5475"/>
      <c r="AU217" s="5338"/>
      <c r="AV217" s="5475"/>
      <c r="AW217" s="5338"/>
      <c r="AX217" s="2057"/>
      <c r="AY217" s="2057"/>
      <c r="AZ217" s="2058" t="str">
        <f>BA216&amp;"-"&amp;BC216</f>
        <v>46753,6271990741-47118,6272916667</v>
      </c>
      <c r="BA217" s="5475"/>
      <c r="BB217" s="5338"/>
      <c r="BC217" s="5475"/>
      <c r="BD217" s="5338"/>
      <c r="BE217" s="2218"/>
      <c r="BF217" s="5543"/>
      <c r="BG217" s="2129"/>
      <c r="BH217" s="2207"/>
      <c r="BI217" s="2207" t="str">
        <f t="shared" si="3"/>
        <v/>
      </c>
      <c r="BJ217" s="2207"/>
      <c r="BK217" s="2207"/>
      <c r="BL217" s="2054">
        <v>0</v>
      </c>
    </row>
    <row r="218" spans="1:64" s="5002" customFormat="1" ht="21" customHeight="1">
      <c r="A218" s="2197"/>
      <c r="B218" s="2197"/>
      <c r="C218" s="2197"/>
      <c r="D218" s="2197"/>
      <c r="E218" s="5470"/>
      <c r="F218" s="5470" t="s">
        <v>93</v>
      </c>
      <c r="G218" s="5470"/>
      <c r="H218" s="5470"/>
      <c r="I218" s="5472"/>
      <c r="J218" s="5471"/>
      <c r="K218" s="2197"/>
      <c r="L218" s="2198"/>
      <c r="M218" s="2208"/>
      <c r="N218" s="2208"/>
      <c r="O218" s="2208"/>
      <c r="P218" s="5473"/>
      <c r="Q218" s="5473"/>
      <c r="R218" s="2210"/>
      <c r="S218" s="3659"/>
      <c r="T218" s="3660" t="s">
        <v>576</v>
      </c>
      <c r="U218" s="3661"/>
      <c r="V218" s="3662"/>
      <c r="W218" s="3663"/>
      <c r="X218" s="3664"/>
      <c r="Y218" s="3665"/>
      <c r="Z218" s="3666"/>
      <c r="AA218" s="3667"/>
      <c r="AB218" s="3668"/>
      <c r="AC218" s="3669"/>
      <c r="AD218" s="3670"/>
      <c r="AE218" s="3671"/>
      <c r="AF218" s="3672"/>
      <c r="AG218" s="3673"/>
      <c r="AH218" s="3674"/>
      <c r="AI218" s="3675"/>
      <c r="AJ218" s="3676"/>
      <c r="AK218" s="3677"/>
      <c r="AL218" s="3678"/>
      <c r="AM218" s="3679"/>
      <c r="AN218" s="3680"/>
      <c r="AO218" s="3681"/>
      <c r="AP218" s="3682"/>
      <c r="AQ218" s="3683"/>
      <c r="AR218" s="3684"/>
      <c r="AS218" s="3685"/>
      <c r="AT218" s="3686"/>
      <c r="AU218" s="3687"/>
      <c r="AV218" s="3688"/>
      <c r="AW218" s="3689"/>
      <c r="AX218" s="3690"/>
      <c r="AY218" s="3691"/>
      <c r="AZ218" s="3692"/>
      <c r="BA218" s="3693"/>
      <c r="BB218" s="3694"/>
      <c r="BC218" s="3695"/>
      <c r="BD218" s="3696"/>
      <c r="BE218" s="3697"/>
      <c r="BF218" s="2206" t="s">
        <v>577</v>
      </c>
      <c r="BG218" s="2129"/>
      <c r="BH218" s="2207"/>
      <c r="BI218" s="2207" t="str">
        <f t="shared" si="3"/>
        <v>Добавить значение признака дифференциации</v>
      </c>
      <c r="BJ218" s="2207"/>
      <c r="BK218" s="2207"/>
      <c r="BL218" s="2054">
        <v>0</v>
      </c>
    </row>
    <row r="219" spans="1:64" s="5003" customFormat="1" ht="23.25" customHeight="1">
      <c r="A219" s="4309"/>
      <c r="B219" s="4309"/>
      <c r="C219" s="4309"/>
      <c r="D219" s="4309"/>
      <c r="E219" s="5470"/>
      <c r="F219" s="5470"/>
      <c r="G219" s="5470"/>
      <c r="H219" s="5470"/>
      <c r="I219" s="5472"/>
      <c r="J219" s="5471" t="str">
        <f>I214&amp;".2"</f>
        <v>1.8.1.1.2</v>
      </c>
      <c r="K219" s="4309"/>
      <c r="L219" s="4310" t="s">
        <v>499</v>
      </c>
      <c r="M219" s="4311"/>
      <c r="N219" s="4311"/>
      <c r="O219" s="4311"/>
      <c r="P219" s="5473"/>
      <c r="Q219" s="5553" t="s">
        <v>104</v>
      </c>
      <c r="R219" s="4312"/>
      <c r="S219" s="4313" t="str">
        <f>$J219</f>
        <v>1.8.1.1.2</v>
      </c>
      <c r="T219" s="4314" t="s">
        <v>500</v>
      </c>
      <c r="U219" s="4315"/>
      <c r="V219" s="5457"/>
      <c r="W219" s="5458"/>
      <c r="X219" s="5458"/>
      <c r="Y219" s="5458"/>
      <c r="Z219" s="5458"/>
      <c r="AA219" s="5458"/>
      <c r="AB219" s="5459"/>
      <c r="AC219" s="5457" t="s">
        <v>612</v>
      </c>
      <c r="AD219" s="5458"/>
      <c r="AE219" s="5458"/>
      <c r="AF219" s="5458"/>
      <c r="AG219" s="5458"/>
      <c r="AH219" s="5458"/>
      <c r="AI219" s="5458"/>
      <c r="AJ219" s="5457"/>
      <c r="AK219" s="5458"/>
      <c r="AL219" s="5458"/>
      <c r="AM219" s="5458"/>
      <c r="AN219" s="5458"/>
      <c r="AO219" s="5458"/>
      <c r="AP219" s="5459"/>
      <c r="AQ219" s="5457"/>
      <c r="AR219" s="5458"/>
      <c r="AS219" s="5458"/>
      <c r="AT219" s="5458"/>
      <c r="AU219" s="5458"/>
      <c r="AV219" s="5458"/>
      <c r="AW219" s="5459"/>
      <c r="AX219" s="5457"/>
      <c r="AY219" s="5458"/>
      <c r="AZ219" s="5458"/>
      <c r="BA219" s="5458"/>
      <c r="BB219" s="5458"/>
      <c r="BC219" s="5458"/>
      <c r="BD219" s="5554"/>
      <c r="BE219" s="5459"/>
      <c r="BF219" s="4316" t="s">
        <v>575</v>
      </c>
      <c r="BG219" s="4317"/>
      <c r="BH219" s="4318"/>
      <c r="BI219" s="4318" t="str">
        <f t="shared" si="3"/>
        <v>Группа потребителей</v>
      </c>
      <c r="BJ219" s="4318"/>
      <c r="BK219" s="4318"/>
      <c r="BL219" s="4319">
        <v>0</v>
      </c>
    </row>
    <row r="220" spans="1:64" s="5004" customFormat="1" ht="23.25" customHeight="1">
      <c r="A220" s="4309"/>
      <c r="B220" s="4309"/>
      <c r="C220" s="4309"/>
      <c r="D220" s="4309"/>
      <c r="E220" s="5470"/>
      <c r="F220" s="5470"/>
      <c r="G220" s="5470"/>
      <c r="H220" s="5470"/>
      <c r="I220" s="5472"/>
      <c r="J220" s="5472" t="str">
        <f>I214&amp;".1"</f>
        <v>1.8.1.1.1</v>
      </c>
      <c r="K220" s="5471" t="str">
        <f>J219&amp;".1"</f>
        <v>1.8.1.1.2.1</v>
      </c>
      <c r="L220" s="4310"/>
      <c r="M220" s="4311"/>
      <c r="N220" s="4311"/>
      <c r="O220" s="4311"/>
      <c r="P220" s="5473"/>
      <c r="Q220" s="5473"/>
      <c r="R220" s="4312">
        <v>1</v>
      </c>
      <c r="S220" s="4313" t="str">
        <f>$K220</f>
        <v>1.8.1.1.2.1</v>
      </c>
      <c r="T220" s="4321" t="s">
        <v>568</v>
      </c>
      <c r="U220" s="4315"/>
      <c r="V220" s="4322"/>
      <c r="W220" s="4322"/>
      <c r="X220" s="4323"/>
      <c r="Y220" s="5474"/>
      <c r="Z220" s="5338" t="s">
        <v>66</v>
      </c>
      <c r="AA220" s="5474"/>
      <c r="AB220" s="5338" t="s">
        <v>66</v>
      </c>
      <c r="AC220" s="4322">
        <v>171.31</v>
      </c>
      <c r="AD220" s="4322"/>
      <c r="AE220" s="4323"/>
      <c r="AF220" s="5474">
        <v>45658.69263888889</v>
      </c>
      <c r="AG220" s="5338" t="s">
        <v>66</v>
      </c>
      <c r="AH220" s="5476">
        <v>46022.692673611113</v>
      </c>
      <c r="AI220" s="5338" t="s">
        <v>66</v>
      </c>
      <c r="AJ220" s="4322">
        <v>172.67</v>
      </c>
      <c r="AK220" s="4322"/>
      <c r="AL220" s="4323"/>
      <c r="AM220" s="5474">
        <v>46023.69295138889</v>
      </c>
      <c r="AN220" s="5338" t="s">
        <v>66</v>
      </c>
      <c r="AO220" s="5474">
        <v>46387.693043981482</v>
      </c>
      <c r="AP220" s="5338" t="s">
        <v>66</v>
      </c>
      <c r="AQ220" s="4322">
        <v>177.71</v>
      </c>
      <c r="AR220" s="4322"/>
      <c r="AS220" s="4323"/>
      <c r="AT220" s="5474">
        <v>46388.69326388889</v>
      </c>
      <c r="AU220" s="5338" t="s">
        <v>66</v>
      </c>
      <c r="AV220" s="5474">
        <v>46752.693356481483</v>
      </c>
      <c r="AW220" s="5338" t="s">
        <v>66</v>
      </c>
      <c r="AX220" s="4322">
        <v>182.89</v>
      </c>
      <c r="AY220" s="4322"/>
      <c r="AZ220" s="4323"/>
      <c r="BA220" s="5474">
        <v>46753.693796296298</v>
      </c>
      <c r="BB220" s="5338" t="s">
        <v>66</v>
      </c>
      <c r="BC220" s="5474">
        <v>47118.693877314814</v>
      </c>
      <c r="BD220" s="5555" t="s">
        <v>66</v>
      </c>
      <c r="BE220" s="4324"/>
      <c r="BF220"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20" s="4317" t="e">
        <f ca="1">STRCHECKDATE(V221:BE221)</f>
        <v>#NAME?</v>
      </c>
      <c r="BH220" s="4318"/>
      <c r="BI220" s="4318" t="str">
        <f t="shared" si="3"/>
        <v>с НДС</v>
      </c>
      <c r="BJ220" s="4318"/>
      <c r="BK220" s="4318"/>
      <c r="BL220" s="4319">
        <v>0</v>
      </c>
    </row>
    <row r="221" spans="1:64" s="5005" customFormat="1" ht="14.25" customHeight="1">
      <c r="A221" s="4309"/>
      <c r="B221" s="4309"/>
      <c r="C221" s="4309"/>
      <c r="D221" s="4309"/>
      <c r="E221" s="5470"/>
      <c r="F221" s="5470"/>
      <c r="G221" s="5470"/>
      <c r="H221" s="5470"/>
      <c r="I221" s="5472"/>
      <c r="J221" s="5472" t="str">
        <f>I214&amp;".1"</f>
        <v>1.8.1.1.1</v>
      </c>
      <c r="K221" s="5471"/>
      <c r="L221" s="4310"/>
      <c r="M221" s="4311"/>
      <c r="N221" s="4311"/>
      <c r="O221" s="4311"/>
      <c r="P221" s="5473"/>
      <c r="Q221" s="5473"/>
      <c r="R221" s="4312"/>
      <c r="S221" s="4326"/>
      <c r="T221" s="4315"/>
      <c r="U221" s="4315"/>
      <c r="V221" s="4327"/>
      <c r="W221" s="4327"/>
      <c r="X221" s="4328" t="str">
        <f>Y220&amp;"-"&amp;AA220</f>
        <v>-</v>
      </c>
      <c r="Y221" s="5475"/>
      <c r="Z221" s="5338"/>
      <c r="AA221" s="5475"/>
      <c r="AB221" s="5338"/>
      <c r="AC221" s="4327"/>
      <c r="AD221" s="4327"/>
      <c r="AE221" s="4328" t="str">
        <f>AF220&amp;"-"&amp;AH220</f>
        <v>45658,6926388889-46022,6926736111</v>
      </c>
      <c r="AF221" s="5475"/>
      <c r="AG221" s="5338"/>
      <c r="AH221" s="5477"/>
      <c r="AI221" s="5338"/>
      <c r="AJ221" s="4327"/>
      <c r="AK221" s="4327"/>
      <c r="AL221" s="4328" t="str">
        <f>AM220&amp;"-"&amp;AO220</f>
        <v>46023,6929513888-46387,6930439815</v>
      </c>
      <c r="AM221" s="5475"/>
      <c r="AN221" s="5338"/>
      <c r="AO221" s="5475"/>
      <c r="AP221" s="5338"/>
      <c r="AQ221" s="4327"/>
      <c r="AR221" s="4327"/>
      <c r="AS221" s="4328" t="str">
        <f>AT220&amp;"-"&amp;AV220</f>
        <v>46388,6932638889-46752,6933564815</v>
      </c>
      <c r="AT221" s="5475"/>
      <c r="AU221" s="5338"/>
      <c r="AV221" s="5475"/>
      <c r="AW221" s="5338"/>
      <c r="AX221" s="4327"/>
      <c r="AY221" s="4327"/>
      <c r="AZ221" s="4328" t="str">
        <f>BA220&amp;"-"&amp;BC220</f>
        <v>46753,6937962963-47118,6938773148</v>
      </c>
      <c r="BA221" s="5475"/>
      <c r="BB221" s="5338"/>
      <c r="BC221" s="5475"/>
      <c r="BD221" s="5555"/>
      <c r="BE221" s="4329"/>
      <c r="BF221" s="5543"/>
      <c r="BG221" s="4317"/>
      <c r="BH221" s="4318"/>
      <c r="BI221" s="4318" t="str">
        <f t="shared" si="3"/>
        <v/>
      </c>
      <c r="BJ221" s="4318"/>
      <c r="BK221" s="4318"/>
      <c r="BL221" s="4319">
        <v>0</v>
      </c>
    </row>
    <row r="222" spans="1:64" s="5006" customFormat="1" ht="21" customHeight="1">
      <c r="A222" s="4309"/>
      <c r="B222" s="4309"/>
      <c r="C222" s="4309"/>
      <c r="D222" s="4309"/>
      <c r="E222" s="5470"/>
      <c r="F222" s="5470"/>
      <c r="G222" s="5470"/>
      <c r="H222" s="5470"/>
      <c r="I222" s="5472"/>
      <c r="J222" s="5471" t="str">
        <f>I214&amp;".1"</f>
        <v>1.8.1.1.1</v>
      </c>
      <c r="K222" s="4309"/>
      <c r="L222" s="4310"/>
      <c r="M222" s="4311"/>
      <c r="N222" s="4311"/>
      <c r="O222" s="4311"/>
      <c r="P222" s="5473"/>
      <c r="Q222" s="5473"/>
      <c r="R222" s="4331"/>
      <c r="S222" s="5007"/>
      <c r="T222" s="5008" t="s">
        <v>576</v>
      </c>
      <c r="U222" s="5009"/>
      <c r="V222" s="5010"/>
      <c r="W222" s="5011"/>
      <c r="X222" s="5012"/>
      <c r="Y222" s="5013"/>
      <c r="Z222" s="5014"/>
      <c r="AA222" s="5015"/>
      <c r="AB222" s="5016"/>
      <c r="AC222" s="5017"/>
      <c r="AD222" s="5018"/>
      <c r="AE222" s="5019"/>
      <c r="AF222" s="5020"/>
      <c r="AG222" s="5021"/>
      <c r="AH222" s="5022"/>
      <c r="AI222" s="5023"/>
      <c r="AJ222" s="5024"/>
      <c r="AK222" s="5025"/>
      <c r="AL222" s="5026"/>
      <c r="AM222" s="5027"/>
      <c r="AN222" s="5028"/>
      <c r="AO222" s="5029"/>
      <c r="AP222" s="5030"/>
      <c r="AQ222" s="5031"/>
      <c r="AR222" s="5032"/>
      <c r="AS222" s="5033"/>
      <c r="AT222" s="5034"/>
      <c r="AU222" s="5035"/>
      <c r="AV222" s="5036"/>
      <c r="AW222" s="5037"/>
      <c r="AX222" s="5038"/>
      <c r="AY222" s="5039"/>
      <c r="AZ222" s="5040"/>
      <c r="BA222" s="5041"/>
      <c r="BB222" s="5042"/>
      <c r="BC222" s="5043"/>
      <c r="BD222" s="5044"/>
      <c r="BE222" s="5045"/>
      <c r="BF222" s="4371" t="s">
        <v>577</v>
      </c>
      <c r="BG222" s="4317"/>
      <c r="BH222" s="4318"/>
      <c r="BI222" s="4318" t="str">
        <f t="shared" si="3"/>
        <v>Добавить значение признака дифференциации</v>
      </c>
      <c r="BJ222" s="4318"/>
      <c r="BK222" s="4318"/>
      <c r="BL222" s="4319">
        <v>0</v>
      </c>
    </row>
    <row r="223" spans="1:64" s="5046" customFormat="1" ht="21" customHeight="1">
      <c r="A223" s="2197"/>
      <c r="B223" s="2197"/>
      <c r="C223" s="2197"/>
      <c r="D223" s="2197"/>
      <c r="E223" s="5470"/>
      <c r="F223" s="5470" t="s">
        <v>93</v>
      </c>
      <c r="G223" s="5470"/>
      <c r="H223" s="5470"/>
      <c r="I223" s="5471"/>
      <c r="J223" s="2197"/>
      <c r="K223" s="2197"/>
      <c r="L223" s="2198"/>
      <c r="M223" s="2208"/>
      <c r="N223" s="2208"/>
      <c r="O223" s="2208"/>
      <c r="P223" s="5473"/>
      <c r="Q223" s="2209"/>
      <c r="R223" s="2210"/>
      <c r="S223" s="3698"/>
      <c r="T223" s="3699" t="s">
        <v>505</v>
      </c>
      <c r="U223" s="3700"/>
      <c r="V223" s="3701"/>
      <c r="W223" s="3702"/>
      <c r="X223" s="3703"/>
      <c r="Y223" s="3704"/>
      <c r="Z223" s="3705"/>
      <c r="AA223" s="3706"/>
      <c r="AB223" s="3707"/>
      <c r="AC223" s="3708"/>
      <c r="AD223" s="3709"/>
      <c r="AE223" s="3710"/>
      <c r="AF223" s="3711"/>
      <c r="AG223" s="3712"/>
      <c r="AH223" s="3713"/>
      <c r="AI223" s="3714"/>
      <c r="AJ223" s="3715"/>
      <c r="AK223" s="3716"/>
      <c r="AL223" s="3717"/>
      <c r="AM223" s="3718"/>
      <c r="AN223" s="3719"/>
      <c r="AO223" s="3720"/>
      <c r="AP223" s="3721"/>
      <c r="AQ223" s="3722"/>
      <c r="AR223" s="3723"/>
      <c r="AS223" s="3724"/>
      <c r="AT223" s="3725"/>
      <c r="AU223" s="3726"/>
      <c r="AV223" s="3727"/>
      <c r="AW223" s="3728"/>
      <c r="AX223" s="3729"/>
      <c r="AY223" s="3730"/>
      <c r="AZ223" s="3731"/>
      <c r="BA223" s="3732"/>
      <c r="BB223" s="3733"/>
      <c r="BC223" s="3734"/>
      <c r="BD223" s="3735"/>
      <c r="BE223" s="3736"/>
      <c r="BF223" s="3737"/>
      <c r="BG223" s="2129"/>
      <c r="BH223" s="2207"/>
      <c r="BI223" s="2207" t="str">
        <f t="shared" si="3"/>
        <v>Добавить группу потребителей</v>
      </c>
      <c r="BJ223" s="2207"/>
      <c r="BK223" s="2207"/>
      <c r="BL223" s="2054">
        <v>0</v>
      </c>
    </row>
    <row r="224" spans="1:64" s="5047" customFormat="1" ht="21" customHeight="1">
      <c r="A224" s="2197"/>
      <c r="B224" s="2197"/>
      <c r="C224" s="2197"/>
      <c r="D224" s="2197"/>
      <c r="E224" s="5470"/>
      <c r="F224" s="5470" t="s">
        <v>93</v>
      </c>
      <c r="G224" s="5470"/>
      <c r="H224" s="5469"/>
      <c r="I224" s="2197"/>
      <c r="J224" s="2197"/>
      <c r="K224" s="2197"/>
      <c r="L224" s="2198"/>
      <c r="M224" s="2199"/>
      <c r="N224" s="2199"/>
      <c r="O224" s="2123"/>
      <c r="P224" s="2298"/>
      <c r="Q224" s="2299"/>
      <c r="R224" s="2300"/>
      <c r="S224" s="3738"/>
      <c r="T224" s="3739" t="s">
        <v>578</v>
      </c>
      <c r="U224" s="3740"/>
      <c r="V224" s="3741"/>
      <c r="W224" s="3742"/>
      <c r="X224" s="3743"/>
      <c r="Y224" s="3744"/>
      <c r="Z224" s="3745"/>
      <c r="AA224" s="3746"/>
      <c r="AB224" s="3747"/>
      <c r="AC224" s="3748"/>
      <c r="AD224" s="3749"/>
      <c r="AE224" s="3750"/>
      <c r="AF224" s="3751"/>
      <c r="AG224" s="3752"/>
      <c r="AH224" s="3753"/>
      <c r="AI224" s="3754"/>
      <c r="AJ224" s="3755"/>
      <c r="AK224" s="3756"/>
      <c r="AL224" s="3757"/>
      <c r="AM224" s="3758"/>
      <c r="AN224" s="3759"/>
      <c r="AO224" s="3760"/>
      <c r="AP224" s="3761"/>
      <c r="AQ224" s="3762"/>
      <c r="AR224" s="3763"/>
      <c r="AS224" s="3764"/>
      <c r="AT224" s="3765"/>
      <c r="AU224" s="3766"/>
      <c r="AV224" s="3767"/>
      <c r="AW224" s="3768"/>
      <c r="AX224" s="3769"/>
      <c r="AY224" s="3770"/>
      <c r="AZ224" s="3771"/>
      <c r="BA224" s="3772"/>
      <c r="BB224" s="3773"/>
      <c r="BC224" s="3774"/>
      <c r="BD224" s="3775"/>
      <c r="BE224" s="3776"/>
      <c r="BF224" s="3777"/>
      <c r="BG224" s="2129"/>
      <c r="BH224" s="2207"/>
      <c r="BI224" s="2207" t="str">
        <f t="shared" si="3"/>
        <v>Добавить наименование признака дифференциации</v>
      </c>
      <c r="BJ224" s="2207"/>
      <c r="BK224" s="2207"/>
      <c r="BL224" s="2054">
        <v>0</v>
      </c>
    </row>
    <row r="225" spans="1:64" s="5048" customFormat="1" ht="23.25" customHeight="1">
      <c r="A225" s="2197"/>
      <c r="B225" s="2197"/>
      <c r="C225" s="2197" t="s">
        <v>348</v>
      </c>
      <c r="D225" s="2197"/>
      <c r="E225" s="5470"/>
      <c r="F225" s="5470"/>
      <c r="G225" s="5469" t="s">
        <v>103</v>
      </c>
      <c r="H225" s="2197"/>
      <c r="I225" s="2197"/>
      <c r="J225" s="2197"/>
      <c r="K225" s="2197"/>
      <c r="L225" s="2198"/>
      <c r="M225" s="2199"/>
      <c r="N225" s="2199"/>
      <c r="O225" s="2199"/>
      <c r="P225" s="2200"/>
      <c r="Q225" s="2201"/>
      <c r="R225" s="2202"/>
      <c r="S225" s="2203" t="str">
        <f>INDEX(PT_DIFFERENTIATION_NUM_CS,MATCH(C225,PT_DIFFERENTIATION_CS_ID,0))</f>
        <v>1.8.2</v>
      </c>
      <c r="T225" s="2204" t="s">
        <v>606</v>
      </c>
      <c r="U225" s="2205"/>
      <c r="V225" s="5463"/>
      <c r="W225" s="5464"/>
      <c r="X225" s="5464"/>
      <c r="Y225" s="5464"/>
      <c r="Z225" s="5464"/>
      <c r="AA225" s="5464"/>
      <c r="AB225" s="5465"/>
      <c r="AC225" s="5463" t="str">
        <f>INDEX(PT_DIFFERENTIATION_CS,MATCH(C225,PT_DIFFERENTIATION_CS_ID,0))</f>
        <v>с. Майское, с. Дмитриевка</v>
      </c>
      <c r="AD225" s="5464"/>
      <c r="AE225" s="5464"/>
      <c r="AF225" s="5464"/>
      <c r="AG225" s="5464"/>
      <c r="AH225" s="5464"/>
      <c r="AI225" s="5464"/>
      <c r="AJ225" s="5463"/>
      <c r="AK225" s="5464"/>
      <c r="AL225" s="5464"/>
      <c r="AM225" s="5464"/>
      <c r="AN225" s="5464"/>
      <c r="AO225" s="5464"/>
      <c r="AP225" s="5465"/>
      <c r="AQ225" s="5463"/>
      <c r="AR225" s="5464"/>
      <c r="AS225" s="5464"/>
      <c r="AT225" s="5464"/>
      <c r="AU225" s="5464"/>
      <c r="AV225" s="5464"/>
      <c r="AW225" s="5465"/>
      <c r="AX225" s="5463"/>
      <c r="AY225" s="5464"/>
      <c r="AZ225" s="5464"/>
      <c r="BA225" s="5464"/>
      <c r="BB225" s="5464"/>
      <c r="BC225" s="5464"/>
      <c r="BD225" s="5465"/>
      <c r="BE225" s="5465"/>
      <c r="BF225" s="2206" t="s">
        <v>607</v>
      </c>
      <c r="BG225" s="2129"/>
      <c r="BH225" s="2207"/>
      <c r="BI225" s="2207" t="str">
        <f t="shared" si="3"/>
        <v>Наименование централизованной системы водоотведения</v>
      </c>
      <c r="BJ225" s="2207"/>
      <c r="BK225" s="2207"/>
      <c r="BL225" s="2054">
        <v>0</v>
      </c>
    </row>
    <row r="226" spans="1:64" s="5049" customFormat="1" ht="23.25" customHeight="1">
      <c r="A226" s="2197"/>
      <c r="B226" s="2197"/>
      <c r="C226" s="2197"/>
      <c r="D226" s="2197"/>
      <c r="E226" s="5470"/>
      <c r="F226" s="5470"/>
      <c r="G226" s="5470">
        <v>1</v>
      </c>
      <c r="H226" s="5470"/>
      <c r="I226" s="5471" t="str">
        <f>S225&amp;".1"</f>
        <v>1.8.2.1</v>
      </c>
      <c r="J226" s="2197"/>
      <c r="K226" s="2197"/>
      <c r="L226" s="2198"/>
      <c r="M226" s="2208"/>
      <c r="N226" s="2208"/>
      <c r="O226" s="2208"/>
      <c r="P226" s="5473">
        <v>1</v>
      </c>
      <c r="Q226" s="2209"/>
      <c r="R226" s="2210"/>
      <c r="S226" s="2203" t="str">
        <f>$I226</f>
        <v>1.8.2.1</v>
      </c>
      <c r="T226" s="2211" t="s">
        <v>573</v>
      </c>
      <c r="U226" s="2205"/>
      <c r="V226" s="5537"/>
      <c r="W226" s="5538"/>
      <c r="X226" s="5538"/>
      <c r="Y226" s="5538"/>
      <c r="Z226" s="5538"/>
      <c r="AA226" s="5538"/>
      <c r="AB226" s="5539"/>
      <c r="AC226" s="5540"/>
      <c r="AD226" s="5541"/>
      <c r="AE226" s="5541"/>
      <c r="AF226" s="5541"/>
      <c r="AG226" s="5541"/>
      <c r="AH226" s="5541"/>
      <c r="AI226" s="5541"/>
      <c r="AJ226" s="5537"/>
      <c r="AK226" s="5538"/>
      <c r="AL226" s="5538"/>
      <c r="AM226" s="5538"/>
      <c r="AN226" s="5538"/>
      <c r="AO226" s="5538"/>
      <c r="AP226" s="5539"/>
      <c r="AQ226" s="5537"/>
      <c r="AR226" s="5538"/>
      <c r="AS226" s="5538"/>
      <c r="AT226" s="5538"/>
      <c r="AU226" s="5538"/>
      <c r="AV226" s="5538"/>
      <c r="AW226" s="5539"/>
      <c r="AX226" s="5537"/>
      <c r="AY226" s="5538"/>
      <c r="AZ226" s="5538"/>
      <c r="BA226" s="5538"/>
      <c r="BB226" s="5538"/>
      <c r="BC226" s="5538"/>
      <c r="BD226" s="5539"/>
      <c r="BE226" s="5542"/>
      <c r="BF226" s="2206" t="s">
        <v>574</v>
      </c>
      <c r="BG226" s="2129"/>
      <c r="BH226" s="2207"/>
      <c r="BI226" s="2207" t="str">
        <f t="shared" si="3"/>
        <v>Наименование признака дифференциации</v>
      </c>
      <c r="BJ226" s="2207"/>
      <c r="BK226" s="2207"/>
      <c r="BL226" s="2054">
        <v>0</v>
      </c>
    </row>
    <row r="227" spans="1:64" s="5050" customFormat="1" ht="23.25" customHeight="1">
      <c r="A227" s="2197"/>
      <c r="B227" s="2197"/>
      <c r="C227" s="2197"/>
      <c r="D227" s="2197"/>
      <c r="E227" s="5470"/>
      <c r="F227" s="5470"/>
      <c r="G227" s="5470">
        <v>1</v>
      </c>
      <c r="H227" s="5470"/>
      <c r="I227" s="5472"/>
      <c r="J227" s="5471" t="str">
        <f>I226&amp;".1"</f>
        <v>1.8.2.1.1</v>
      </c>
      <c r="K227" s="2197"/>
      <c r="L227" s="2198" t="s">
        <v>499</v>
      </c>
      <c r="M227" s="2208"/>
      <c r="N227" s="2208"/>
      <c r="O227" s="2208"/>
      <c r="P227" s="5473"/>
      <c r="Q227" s="5473">
        <v>1</v>
      </c>
      <c r="R227" s="2212"/>
      <c r="S227" s="2203" t="str">
        <f>$J227</f>
        <v>1.8.2.1.1</v>
      </c>
      <c r="T227" s="2213" t="s">
        <v>500</v>
      </c>
      <c r="U227" s="2205"/>
      <c r="V227" s="5457"/>
      <c r="W227" s="5458"/>
      <c r="X227" s="5458"/>
      <c r="Y227" s="5458"/>
      <c r="Z227" s="5458"/>
      <c r="AA227" s="5458"/>
      <c r="AB227" s="5459"/>
      <c r="AC227" s="5457" t="s">
        <v>611</v>
      </c>
      <c r="AD227" s="5458"/>
      <c r="AE227" s="5458"/>
      <c r="AF227" s="5458"/>
      <c r="AG227" s="5458"/>
      <c r="AH227" s="5458"/>
      <c r="AI227" s="5458"/>
      <c r="AJ227" s="5457"/>
      <c r="AK227" s="5458"/>
      <c r="AL227" s="5458"/>
      <c r="AM227" s="5458"/>
      <c r="AN227" s="5458"/>
      <c r="AO227" s="5458"/>
      <c r="AP227" s="5459"/>
      <c r="AQ227" s="5457"/>
      <c r="AR227" s="5458"/>
      <c r="AS227" s="5458"/>
      <c r="AT227" s="5458"/>
      <c r="AU227" s="5458"/>
      <c r="AV227" s="5458"/>
      <c r="AW227" s="5459"/>
      <c r="AX227" s="5457"/>
      <c r="AY227" s="5458"/>
      <c r="AZ227" s="5458"/>
      <c r="BA227" s="5458"/>
      <c r="BB227" s="5458"/>
      <c r="BC227" s="5458"/>
      <c r="BD227" s="5459"/>
      <c r="BE227" s="5459"/>
      <c r="BF227" s="2214" t="s">
        <v>575</v>
      </c>
      <c r="BG227" s="2129"/>
      <c r="BH227" s="2207"/>
      <c r="BI227" s="2207" t="str">
        <f t="shared" si="3"/>
        <v>Группа потребителей</v>
      </c>
      <c r="BJ227" s="2207"/>
      <c r="BK227" s="2207"/>
      <c r="BL227" s="2054">
        <v>0</v>
      </c>
    </row>
    <row r="228" spans="1:64" s="5051" customFormat="1" ht="23.25" customHeight="1">
      <c r="A228" s="2197"/>
      <c r="B228" s="2197"/>
      <c r="C228" s="2197"/>
      <c r="D228" s="2197"/>
      <c r="E228" s="5470"/>
      <c r="F228" s="5470"/>
      <c r="G228" s="5470">
        <v>1</v>
      </c>
      <c r="H228" s="5470"/>
      <c r="I228" s="5472"/>
      <c r="J228" s="5472"/>
      <c r="K228" s="5471" t="str">
        <f>J227&amp;".1"</f>
        <v>1.8.2.1.1.1</v>
      </c>
      <c r="L228" s="2198"/>
      <c r="M228" s="2208"/>
      <c r="N228" s="2208"/>
      <c r="O228" s="2208"/>
      <c r="P228" s="5473"/>
      <c r="Q228" s="5473"/>
      <c r="R228" s="2212">
        <v>1</v>
      </c>
      <c r="S228" s="2203" t="str">
        <f>$K228</f>
        <v>1.8.2.1.1.1</v>
      </c>
      <c r="T228" s="2215" t="s">
        <v>569</v>
      </c>
      <c r="U228" s="2205"/>
      <c r="V228" s="2055"/>
      <c r="W228" s="2055"/>
      <c r="X228" s="2056"/>
      <c r="Y228" s="5474"/>
      <c r="Z228" s="5338" t="s">
        <v>66</v>
      </c>
      <c r="AA228" s="5474"/>
      <c r="AB228" s="5338" t="s">
        <v>66</v>
      </c>
      <c r="AC228" s="2055">
        <v>131.12</v>
      </c>
      <c r="AD228" s="2055"/>
      <c r="AE228" s="2056"/>
      <c r="AF228" s="5474">
        <v>45658.615995370368</v>
      </c>
      <c r="AG228" s="5338" t="s">
        <v>66</v>
      </c>
      <c r="AH228" s="5476">
        <v>46022.616087962961</v>
      </c>
      <c r="AI228" s="5338" t="s">
        <v>66</v>
      </c>
      <c r="AJ228" s="2055">
        <v>131.1</v>
      </c>
      <c r="AK228" s="2055"/>
      <c r="AL228" s="2056"/>
      <c r="AM228" s="5474">
        <v>46023.623472222222</v>
      </c>
      <c r="AN228" s="5338" t="s">
        <v>66</v>
      </c>
      <c r="AO228" s="5474">
        <v>46387.623611111114</v>
      </c>
      <c r="AP228" s="5338" t="s">
        <v>66</v>
      </c>
      <c r="AQ228" s="2055">
        <v>134.77000000000001</v>
      </c>
      <c r="AR228" s="2055"/>
      <c r="AS228" s="2056"/>
      <c r="AT228" s="5474">
        <v>46388.624062499999</v>
      </c>
      <c r="AU228" s="5338" t="s">
        <v>66</v>
      </c>
      <c r="AV228" s="5474">
        <v>46752.624247685184</v>
      </c>
      <c r="AW228" s="5338" t="s">
        <v>66</v>
      </c>
      <c r="AX228" s="2055">
        <v>138.54</v>
      </c>
      <c r="AY228" s="2055"/>
      <c r="AZ228" s="2056"/>
      <c r="BA228" s="5474">
        <v>46753.624479166669</v>
      </c>
      <c r="BB228" s="5338" t="s">
        <v>66</v>
      </c>
      <c r="BC228" s="5474">
        <v>47118.626273148147</v>
      </c>
      <c r="BD228" s="5338" t="s">
        <v>66</v>
      </c>
      <c r="BE228" s="2216"/>
      <c r="BF228"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28" s="2129" t="e">
        <f ca="1">STRCHECKDATE(V229:BE229)</f>
        <v>#NAME?</v>
      </c>
      <c r="BH228" s="2207"/>
      <c r="BI228" s="2207" t="str">
        <f t="shared" si="3"/>
        <v>без НДС</v>
      </c>
      <c r="BJ228" s="2207"/>
      <c r="BK228" s="2207"/>
      <c r="BL228" s="2054">
        <v>0</v>
      </c>
    </row>
    <row r="229" spans="1:64" s="5052" customFormat="1" ht="14.25" customHeight="1">
      <c r="A229" s="2197"/>
      <c r="B229" s="2197"/>
      <c r="C229" s="2197"/>
      <c r="D229" s="2197"/>
      <c r="E229" s="5470"/>
      <c r="F229" s="5470"/>
      <c r="G229" s="5470">
        <v>1</v>
      </c>
      <c r="H229" s="5470"/>
      <c r="I229" s="5472"/>
      <c r="J229" s="5472"/>
      <c r="K229" s="5471"/>
      <c r="L229" s="2198"/>
      <c r="M229" s="2208"/>
      <c r="N229" s="2208"/>
      <c r="O229" s="2208"/>
      <c r="P229" s="5473"/>
      <c r="Q229" s="5473"/>
      <c r="R229" s="2212"/>
      <c r="S229" s="2217"/>
      <c r="T229" s="2205"/>
      <c r="U229" s="2205"/>
      <c r="V229" s="2057"/>
      <c r="W229" s="2057"/>
      <c r="X229" s="2058" t="str">
        <f>Y228&amp;"-"&amp;AA228</f>
        <v>-</v>
      </c>
      <c r="Y229" s="5475"/>
      <c r="Z229" s="5338"/>
      <c r="AA229" s="5475"/>
      <c r="AB229" s="5338"/>
      <c r="AC229" s="2057"/>
      <c r="AD229" s="2057"/>
      <c r="AE229" s="2058" t="str">
        <f>AF228&amp;"-"&amp;AH228</f>
        <v>45658,6159953704-46022,616087963</v>
      </c>
      <c r="AF229" s="5475"/>
      <c r="AG229" s="5338"/>
      <c r="AH229" s="5477"/>
      <c r="AI229" s="5338"/>
      <c r="AJ229" s="2057"/>
      <c r="AK229" s="2057"/>
      <c r="AL229" s="2058" t="str">
        <f>AM228&amp;"-"&amp;AO228</f>
        <v>46023,6234722222-46387,6236111111</v>
      </c>
      <c r="AM229" s="5475"/>
      <c r="AN229" s="5338"/>
      <c r="AO229" s="5475"/>
      <c r="AP229" s="5338"/>
      <c r="AQ229" s="2057"/>
      <c r="AR229" s="2057"/>
      <c r="AS229" s="2058" t="str">
        <f>AT228&amp;"-"&amp;AV228</f>
        <v>46388,6240625-46752,6242476852</v>
      </c>
      <c r="AT229" s="5475"/>
      <c r="AU229" s="5338"/>
      <c r="AV229" s="5475"/>
      <c r="AW229" s="5338"/>
      <c r="AX229" s="2057"/>
      <c r="AY229" s="2057"/>
      <c r="AZ229" s="2058" t="str">
        <f>BA228&amp;"-"&amp;BC228</f>
        <v>46753,6244791667-47118,6262731481</v>
      </c>
      <c r="BA229" s="5475"/>
      <c r="BB229" s="5338"/>
      <c r="BC229" s="5475"/>
      <c r="BD229" s="5338"/>
      <c r="BE229" s="2218"/>
      <c r="BF229" s="5543"/>
      <c r="BG229" s="2129"/>
      <c r="BH229" s="2207"/>
      <c r="BI229" s="2207" t="str">
        <f t="shared" si="3"/>
        <v/>
      </c>
      <c r="BJ229" s="2207"/>
      <c r="BK229" s="2207"/>
      <c r="BL229" s="2054">
        <v>0</v>
      </c>
    </row>
    <row r="230" spans="1:64" s="5053" customFormat="1" ht="21" customHeight="1">
      <c r="A230" s="2197"/>
      <c r="B230" s="2197"/>
      <c r="C230" s="2197"/>
      <c r="D230" s="2197"/>
      <c r="E230" s="5470"/>
      <c r="F230" s="5470"/>
      <c r="G230" s="5470">
        <v>1</v>
      </c>
      <c r="H230" s="5470"/>
      <c r="I230" s="5472"/>
      <c r="J230" s="5471"/>
      <c r="K230" s="2197"/>
      <c r="L230" s="2198"/>
      <c r="M230" s="2208"/>
      <c r="N230" s="2208"/>
      <c r="O230" s="2208"/>
      <c r="P230" s="5473"/>
      <c r="Q230" s="5473"/>
      <c r="R230" s="2210"/>
      <c r="S230" s="3778"/>
      <c r="T230" s="3779" t="s">
        <v>576</v>
      </c>
      <c r="U230" s="3780"/>
      <c r="V230" s="3781"/>
      <c r="W230" s="3782"/>
      <c r="X230" s="3783"/>
      <c r="Y230" s="3784"/>
      <c r="Z230" s="3785"/>
      <c r="AA230" s="3786"/>
      <c r="AB230" s="3787"/>
      <c r="AC230" s="3788"/>
      <c r="AD230" s="3789"/>
      <c r="AE230" s="3790"/>
      <c r="AF230" s="3791"/>
      <c r="AG230" s="3792"/>
      <c r="AH230" s="3793"/>
      <c r="AI230" s="3794"/>
      <c r="AJ230" s="3795"/>
      <c r="AK230" s="3796"/>
      <c r="AL230" s="3797"/>
      <c r="AM230" s="3798"/>
      <c r="AN230" s="3799"/>
      <c r="AO230" s="3800"/>
      <c r="AP230" s="3801"/>
      <c r="AQ230" s="3802"/>
      <c r="AR230" s="3803"/>
      <c r="AS230" s="3804"/>
      <c r="AT230" s="3805"/>
      <c r="AU230" s="3806"/>
      <c r="AV230" s="3807"/>
      <c r="AW230" s="3808"/>
      <c r="AX230" s="3809"/>
      <c r="AY230" s="3810"/>
      <c r="AZ230" s="3811"/>
      <c r="BA230" s="3812"/>
      <c r="BB230" s="3813"/>
      <c r="BC230" s="3814"/>
      <c r="BD230" s="3815"/>
      <c r="BE230" s="3816"/>
      <c r="BF230" s="2206" t="s">
        <v>577</v>
      </c>
      <c r="BG230" s="2129"/>
      <c r="BH230" s="2207"/>
      <c r="BI230" s="2207" t="str">
        <f t="shared" si="3"/>
        <v>Добавить значение признака дифференциации</v>
      </c>
      <c r="BJ230" s="2207"/>
      <c r="BK230" s="2207"/>
      <c r="BL230" s="2054">
        <v>0</v>
      </c>
    </row>
    <row r="231" spans="1:64" s="5054" customFormat="1" ht="23.25" customHeight="1">
      <c r="A231" s="4309"/>
      <c r="B231" s="4309"/>
      <c r="C231" s="4309"/>
      <c r="D231" s="4309"/>
      <c r="E231" s="5470"/>
      <c r="F231" s="5470"/>
      <c r="G231" s="5470"/>
      <c r="H231" s="5470"/>
      <c r="I231" s="5472"/>
      <c r="J231" s="5471" t="str">
        <f>I226&amp;".2"</f>
        <v>1.8.2.1.2</v>
      </c>
      <c r="K231" s="4309"/>
      <c r="L231" s="4310" t="s">
        <v>499</v>
      </c>
      <c r="M231" s="4311"/>
      <c r="N231" s="4311"/>
      <c r="O231" s="4311"/>
      <c r="P231" s="5473"/>
      <c r="Q231" s="5553" t="s">
        <v>104</v>
      </c>
      <c r="R231" s="4312"/>
      <c r="S231" s="4313" t="str">
        <f>$J231</f>
        <v>1.8.2.1.2</v>
      </c>
      <c r="T231" s="4314" t="s">
        <v>500</v>
      </c>
      <c r="U231" s="4315"/>
      <c r="V231" s="5457"/>
      <c r="W231" s="5458"/>
      <c r="X231" s="5458"/>
      <c r="Y231" s="5458"/>
      <c r="Z231" s="5458"/>
      <c r="AA231" s="5458"/>
      <c r="AB231" s="5459"/>
      <c r="AC231" s="5457" t="s">
        <v>612</v>
      </c>
      <c r="AD231" s="5458"/>
      <c r="AE231" s="5458"/>
      <c r="AF231" s="5458"/>
      <c r="AG231" s="5458"/>
      <c r="AH231" s="5458"/>
      <c r="AI231" s="5458"/>
      <c r="AJ231" s="5457"/>
      <c r="AK231" s="5458"/>
      <c r="AL231" s="5458"/>
      <c r="AM231" s="5458"/>
      <c r="AN231" s="5458"/>
      <c r="AO231" s="5458"/>
      <c r="AP231" s="5459"/>
      <c r="AQ231" s="5457"/>
      <c r="AR231" s="5458"/>
      <c r="AS231" s="5458"/>
      <c r="AT231" s="5458"/>
      <c r="AU231" s="5458"/>
      <c r="AV231" s="5458"/>
      <c r="AW231" s="5459"/>
      <c r="AX231" s="5457"/>
      <c r="AY231" s="5458"/>
      <c r="AZ231" s="5458"/>
      <c r="BA231" s="5458"/>
      <c r="BB231" s="5458"/>
      <c r="BC231" s="5458"/>
      <c r="BD231" s="5554"/>
      <c r="BE231" s="5459"/>
      <c r="BF231" s="4316" t="s">
        <v>575</v>
      </c>
      <c r="BG231" s="4317"/>
      <c r="BH231" s="4318"/>
      <c r="BI231" s="4318" t="str">
        <f t="shared" si="3"/>
        <v>Группа потребителей</v>
      </c>
      <c r="BJ231" s="4318"/>
      <c r="BK231" s="4318"/>
      <c r="BL231" s="4319">
        <v>0</v>
      </c>
    </row>
    <row r="232" spans="1:64" s="5055" customFormat="1" ht="23.25" customHeight="1">
      <c r="A232" s="4309"/>
      <c r="B232" s="4309"/>
      <c r="C232" s="4309"/>
      <c r="D232" s="4309"/>
      <c r="E232" s="5470"/>
      <c r="F232" s="5470"/>
      <c r="G232" s="5470"/>
      <c r="H232" s="5470"/>
      <c r="I232" s="5472"/>
      <c r="J232" s="5472" t="str">
        <f>I226&amp;".1"</f>
        <v>1.8.2.1.1</v>
      </c>
      <c r="K232" s="5471" t="str">
        <f>J231&amp;".1"</f>
        <v>1.8.2.1.2.1</v>
      </c>
      <c r="L232" s="4310"/>
      <c r="M232" s="4311"/>
      <c r="N232" s="4311"/>
      <c r="O232" s="4311"/>
      <c r="P232" s="5473"/>
      <c r="Q232" s="5473"/>
      <c r="R232" s="4312">
        <v>1</v>
      </c>
      <c r="S232" s="4313" t="str">
        <f>$K232</f>
        <v>1.8.2.1.2.1</v>
      </c>
      <c r="T232" s="4321" t="s">
        <v>568</v>
      </c>
      <c r="U232" s="4315"/>
      <c r="V232" s="4322"/>
      <c r="W232" s="4322"/>
      <c r="X232" s="4323"/>
      <c r="Y232" s="5474"/>
      <c r="Z232" s="5338" t="s">
        <v>66</v>
      </c>
      <c r="AA232" s="5474"/>
      <c r="AB232" s="5338" t="s">
        <v>66</v>
      </c>
      <c r="AC232" s="4322">
        <v>157.34</v>
      </c>
      <c r="AD232" s="4322"/>
      <c r="AE232" s="4323"/>
      <c r="AF232" s="5474">
        <v>45658.698009259257</v>
      </c>
      <c r="AG232" s="5338" t="s">
        <v>66</v>
      </c>
      <c r="AH232" s="5476">
        <v>46022.698067129626</v>
      </c>
      <c r="AI232" s="5338" t="s">
        <v>66</v>
      </c>
      <c r="AJ232" s="4322">
        <v>157.32</v>
      </c>
      <c r="AK232" s="4322"/>
      <c r="AL232" s="4323"/>
      <c r="AM232" s="5474">
        <v>46023.698530092595</v>
      </c>
      <c r="AN232" s="5338" t="s">
        <v>66</v>
      </c>
      <c r="AO232" s="5474">
        <v>46387.698622685188</v>
      </c>
      <c r="AP232" s="5338" t="s">
        <v>66</v>
      </c>
      <c r="AQ232" s="4322">
        <v>161.72</v>
      </c>
      <c r="AR232" s="4322"/>
      <c r="AS232" s="4323"/>
      <c r="AT232" s="5474">
        <v>46388.698946759258</v>
      </c>
      <c r="AU232" s="5338" t="s">
        <v>66</v>
      </c>
      <c r="AV232" s="5474">
        <v>46752.699074074073</v>
      </c>
      <c r="AW232" s="5338" t="s">
        <v>66</v>
      </c>
      <c r="AX232" s="4322">
        <v>166.25</v>
      </c>
      <c r="AY232" s="4322"/>
      <c r="AZ232" s="4323"/>
      <c r="BA232" s="5474">
        <v>46753.699479166666</v>
      </c>
      <c r="BB232" s="5338" t="s">
        <v>66</v>
      </c>
      <c r="BC232" s="5474">
        <v>47118.699560185189</v>
      </c>
      <c r="BD232" s="5555" t="s">
        <v>66</v>
      </c>
      <c r="BE232" s="4324"/>
      <c r="BF232"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32" s="4317" t="e">
        <f ca="1">STRCHECKDATE(V233:BE233)</f>
        <v>#NAME?</v>
      </c>
      <c r="BH232" s="4318"/>
      <c r="BI232" s="4318" t="str">
        <f t="shared" si="3"/>
        <v>с НДС</v>
      </c>
      <c r="BJ232" s="4318"/>
      <c r="BK232" s="4318"/>
      <c r="BL232" s="4319">
        <v>0</v>
      </c>
    </row>
    <row r="233" spans="1:64" s="5056" customFormat="1" ht="14.25" customHeight="1">
      <c r="A233" s="4309"/>
      <c r="B233" s="4309"/>
      <c r="C233" s="4309"/>
      <c r="D233" s="4309"/>
      <c r="E233" s="5470"/>
      <c r="F233" s="5470"/>
      <c r="G233" s="5470"/>
      <c r="H233" s="5470"/>
      <c r="I233" s="5472"/>
      <c r="J233" s="5472" t="str">
        <f>I226&amp;".1"</f>
        <v>1.8.2.1.1</v>
      </c>
      <c r="K233" s="5471"/>
      <c r="L233" s="4310"/>
      <c r="M233" s="4311"/>
      <c r="N233" s="4311"/>
      <c r="O233" s="4311"/>
      <c r="P233" s="5473"/>
      <c r="Q233" s="5473"/>
      <c r="R233" s="4312"/>
      <c r="S233" s="4326"/>
      <c r="T233" s="4315"/>
      <c r="U233" s="4315"/>
      <c r="V233" s="4327"/>
      <c r="W233" s="4327"/>
      <c r="X233" s="4328" t="str">
        <f>Y232&amp;"-"&amp;AA232</f>
        <v>-</v>
      </c>
      <c r="Y233" s="5475"/>
      <c r="Z233" s="5338"/>
      <c r="AA233" s="5475"/>
      <c r="AB233" s="5338"/>
      <c r="AC233" s="4327"/>
      <c r="AD233" s="4327"/>
      <c r="AE233" s="4328" t="str">
        <f>AF232&amp;"-"&amp;AH232</f>
        <v>45658,6980092593-46022,6980671296</v>
      </c>
      <c r="AF233" s="5475"/>
      <c r="AG233" s="5338"/>
      <c r="AH233" s="5477"/>
      <c r="AI233" s="5338"/>
      <c r="AJ233" s="4327"/>
      <c r="AK233" s="4327"/>
      <c r="AL233" s="4328" t="str">
        <f>AM232&amp;"-"&amp;AO232</f>
        <v>46023,6985300926-46387,6986226852</v>
      </c>
      <c r="AM233" s="5475"/>
      <c r="AN233" s="5338"/>
      <c r="AO233" s="5475"/>
      <c r="AP233" s="5338"/>
      <c r="AQ233" s="4327"/>
      <c r="AR233" s="4327"/>
      <c r="AS233" s="4328" t="str">
        <f>AT232&amp;"-"&amp;AV232</f>
        <v>46388,6989467593-46752,6990740741</v>
      </c>
      <c r="AT233" s="5475"/>
      <c r="AU233" s="5338"/>
      <c r="AV233" s="5475"/>
      <c r="AW233" s="5338"/>
      <c r="AX233" s="4327"/>
      <c r="AY233" s="4327"/>
      <c r="AZ233" s="4328" t="str">
        <f>BA232&amp;"-"&amp;BC232</f>
        <v>46753,6994791667-47118,6995601852</v>
      </c>
      <c r="BA233" s="5475"/>
      <c r="BB233" s="5338"/>
      <c r="BC233" s="5475"/>
      <c r="BD233" s="5555"/>
      <c r="BE233" s="4329"/>
      <c r="BF233" s="5543"/>
      <c r="BG233" s="4317"/>
      <c r="BH233" s="4318"/>
      <c r="BI233" s="4318" t="str">
        <f t="shared" ref="BI233:BI277" si="4">IF(T233="","",T233)</f>
        <v/>
      </c>
      <c r="BJ233" s="4318"/>
      <c r="BK233" s="4318"/>
      <c r="BL233" s="4319">
        <v>0</v>
      </c>
    </row>
    <row r="234" spans="1:64" s="5057" customFormat="1" ht="21" customHeight="1">
      <c r="A234" s="4309"/>
      <c r="B234" s="4309"/>
      <c r="C234" s="4309"/>
      <c r="D234" s="4309"/>
      <c r="E234" s="5470"/>
      <c r="F234" s="5470"/>
      <c r="G234" s="5470"/>
      <c r="H234" s="5470"/>
      <c r="I234" s="5472"/>
      <c r="J234" s="5471" t="str">
        <f>I226&amp;".1"</f>
        <v>1.8.2.1.1</v>
      </c>
      <c r="K234" s="4309"/>
      <c r="L234" s="4310"/>
      <c r="M234" s="4311"/>
      <c r="N234" s="4311"/>
      <c r="O234" s="4311"/>
      <c r="P234" s="5473"/>
      <c r="Q234" s="5473"/>
      <c r="R234" s="4331"/>
      <c r="S234" s="5058"/>
      <c r="T234" s="5059" t="s">
        <v>576</v>
      </c>
      <c r="U234" s="5060"/>
      <c r="V234" s="5061"/>
      <c r="W234" s="5062"/>
      <c r="X234" s="5063"/>
      <c r="Y234" s="5064"/>
      <c r="Z234" s="5065"/>
      <c r="AA234" s="5066"/>
      <c r="AB234" s="5067"/>
      <c r="AC234" s="5068"/>
      <c r="AD234" s="5069"/>
      <c r="AE234" s="5070"/>
      <c r="AF234" s="5071"/>
      <c r="AG234" s="5072"/>
      <c r="AH234" s="5073"/>
      <c r="AI234" s="5074"/>
      <c r="AJ234" s="5075"/>
      <c r="AK234" s="5076"/>
      <c r="AL234" s="5077"/>
      <c r="AM234" s="5078"/>
      <c r="AN234" s="5079"/>
      <c r="AO234" s="5080"/>
      <c r="AP234" s="5081"/>
      <c r="AQ234" s="5082"/>
      <c r="AR234" s="5083"/>
      <c r="AS234" s="5084"/>
      <c r="AT234" s="5085"/>
      <c r="AU234" s="5086"/>
      <c r="AV234" s="5087"/>
      <c r="AW234" s="5088"/>
      <c r="AX234" s="5089"/>
      <c r="AY234" s="5090"/>
      <c r="AZ234" s="5091"/>
      <c r="BA234" s="5092"/>
      <c r="BB234" s="5093"/>
      <c r="BC234" s="5094"/>
      <c r="BD234" s="5095"/>
      <c r="BE234" s="5096"/>
      <c r="BF234" s="4371" t="s">
        <v>577</v>
      </c>
      <c r="BG234" s="4317"/>
      <c r="BH234" s="4318"/>
      <c r="BI234" s="4318" t="str">
        <f t="shared" si="4"/>
        <v>Добавить значение признака дифференциации</v>
      </c>
      <c r="BJ234" s="4318"/>
      <c r="BK234" s="4318"/>
      <c r="BL234" s="4319">
        <v>0</v>
      </c>
    </row>
    <row r="235" spans="1:64" s="5097" customFormat="1" ht="21" customHeight="1">
      <c r="A235" s="2197"/>
      <c r="B235" s="2197"/>
      <c r="C235" s="2197"/>
      <c r="D235" s="2197"/>
      <c r="E235" s="5470"/>
      <c r="F235" s="5470"/>
      <c r="G235" s="5470">
        <v>1</v>
      </c>
      <c r="H235" s="5470"/>
      <c r="I235" s="5471"/>
      <c r="J235" s="2197"/>
      <c r="K235" s="2197"/>
      <c r="L235" s="2198"/>
      <c r="M235" s="2208"/>
      <c r="N235" s="2208"/>
      <c r="O235" s="2208"/>
      <c r="P235" s="5473"/>
      <c r="Q235" s="2209"/>
      <c r="R235" s="2210"/>
      <c r="S235" s="3817"/>
      <c r="T235" s="3818" t="s">
        <v>505</v>
      </c>
      <c r="U235" s="3819"/>
      <c r="V235" s="3820"/>
      <c r="W235" s="3821"/>
      <c r="X235" s="3822"/>
      <c r="Y235" s="3823"/>
      <c r="Z235" s="3824"/>
      <c r="AA235" s="3825"/>
      <c r="AB235" s="3826"/>
      <c r="AC235" s="3827"/>
      <c r="AD235" s="3828"/>
      <c r="AE235" s="3829"/>
      <c r="AF235" s="3830"/>
      <c r="AG235" s="3831"/>
      <c r="AH235" s="3832"/>
      <c r="AI235" s="3833"/>
      <c r="AJ235" s="3834"/>
      <c r="AK235" s="3835"/>
      <c r="AL235" s="3836"/>
      <c r="AM235" s="3837"/>
      <c r="AN235" s="3838"/>
      <c r="AO235" s="3839"/>
      <c r="AP235" s="3840"/>
      <c r="AQ235" s="3841"/>
      <c r="AR235" s="3842"/>
      <c r="AS235" s="3843"/>
      <c r="AT235" s="3844"/>
      <c r="AU235" s="3845"/>
      <c r="AV235" s="3846"/>
      <c r="AW235" s="3847"/>
      <c r="AX235" s="3848"/>
      <c r="AY235" s="3849"/>
      <c r="AZ235" s="3850"/>
      <c r="BA235" s="3851"/>
      <c r="BB235" s="3852"/>
      <c r="BC235" s="3853"/>
      <c r="BD235" s="3854"/>
      <c r="BE235" s="3855"/>
      <c r="BF235" s="3856"/>
      <c r="BG235" s="2129"/>
      <c r="BH235" s="2207"/>
      <c r="BI235" s="2207" t="str">
        <f t="shared" si="4"/>
        <v>Добавить группу потребителей</v>
      </c>
      <c r="BJ235" s="2207"/>
      <c r="BK235" s="2207"/>
      <c r="BL235" s="2054">
        <v>0</v>
      </c>
    </row>
    <row r="236" spans="1:64" s="5098" customFormat="1" ht="21" customHeight="1">
      <c r="A236" s="2197"/>
      <c r="B236" s="2197"/>
      <c r="C236" s="2197"/>
      <c r="D236" s="2197"/>
      <c r="E236" s="5470"/>
      <c r="F236" s="5470"/>
      <c r="G236" s="5470">
        <v>1</v>
      </c>
      <c r="H236" s="5469"/>
      <c r="I236" s="2197"/>
      <c r="J236" s="2197"/>
      <c r="K236" s="2197"/>
      <c r="L236" s="2198"/>
      <c r="M236" s="2199"/>
      <c r="N236" s="2199"/>
      <c r="O236" s="2123"/>
      <c r="P236" s="2298"/>
      <c r="Q236" s="2299"/>
      <c r="R236" s="2300"/>
      <c r="S236" s="3857"/>
      <c r="T236" s="3858" t="s">
        <v>578</v>
      </c>
      <c r="U236" s="3859"/>
      <c r="V236" s="3860"/>
      <c r="W236" s="3861"/>
      <c r="X236" s="3862"/>
      <c r="Y236" s="3863"/>
      <c r="Z236" s="3864"/>
      <c r="AA236" s="3865"/>
      <c r="AB236" s="3866"/>
      <c r="AC236" s="3867"/>
      <c r="AD236" s="3868"/>
      <c r="AE236" s="3869"/>
      <c r="AF236" s="3870"/>
      <c r="AG236" s="3871"/>
      <c r="AH236" s="3872"/>
      <c r="AI236" s="3873"/>
      <c r="AJ236" s="3874"/>
      <c r="AK236" s="3875"/>
      <c r="AL236" s="3876"/>
      <c r="AM236" s="3877"/>
      <c r="AN236" s="3878"/>
      <c r="AO236" s="3879"/>
      <c r="AP236" s="3880"/>
      <c r="AQ236" s="3881"/>
      <c r="AR236" s="3882"/>
      <c r="AS236" s="3883"/>
      <c r="AT236" s="3884"/>
      <c r="AU236" s="3885"/>
      <c r="AV236" s="3886"/>
      <c r="AW236" s="3887"/>
      <c r="AX236" s="3888"/>
      <c r="AY236" s="3889"/>
      <c r="AZ236" s="3890"/>
      <c r="BA236" s="3891"/>
      <c r="BB236" s="3892"/>
      <c r="BC236" s="3893"/>
      <c r="BD236" s="3894"/>
      <c r="BE236" s="3895"/>
      <c r="BF236" s="3896"/>
      <c r="BG236" s="2129"/>
      <c r="BH236" s="2207"/>
      <c r="BI236" s="2207" t="str">
        <f t="shared" si="4"/>
        <v>Добавить наименование признака дифференциации</v>
      </c>
      <c r="BJ236" s="2207"/>
      <c r="BK236" s="2207"/>
      <c r="BL236" s="2054">
        <v>0</v>
      </c>
    </row>
    <row r="237" spans="1:64" s="5099" customFormat="1" ht="23.25" customHeight="1">
      <c r="A237" s="2197"/>
      <c r="B237" s="2197"/>
      <c r="C237" s="2197" t="s">
        <v>351</v>
      </c>
      <c r="D237" s="2197"/>
      <c r="E237" s="5470"/>
      <c r="F237" s="5470"/>
      <c r="G237" s="5469" t="s">
        <v>90</v>
      </c>
      <c r="H237" s="2197"/>
      <c r="I237" s="2197"/>
      <c r="J237" s="2197"/>
      <c r="K237" s="2197"/>
      <c r="L237" s="2198"/>
      <c r="M237" s="2199"/>
      <c r="N237" s="2199"/>
      <c r="O237" s="2199"/>
      <c r="P237" s="2200"/>
      <c r="Q237" s="2201"/>
      <c r="R237" s="2202"/>
      <c r="S237" s="2203" t="str">
        <f>INDEX(PT_DIFFERENTIATION_NUM_CS,MATCH(C237,PT_DIFFERENTIATION_CS_ID,0))</f>
        <v>1.8.3</v>
      </c>
      <c r="T237" s="2204" t="s">
        <v>606</v>
      </c>
      <c r="U237" s="2205"/>
      <c r="V237" s="5463"/>
      <c r="W237" s="5464"/>
      <c r="X237" s="5464"/>
      <c r="Y237" s="5464"/>
      <c r="Z237" s="5464"/>
      <c r="AA237" s="5464"/>
      <c r="AB237" s="5465"/>
      <c r="AC237" s="5463" t="str">
        <f>INDEX(PT_DIFFERENTIATION_CS,MATCH(C237,PT_DIFFERENTIATION_CS_ID,0))</f>
        <v>с. Черниговка</v>
      </c>
      <c r="AD237" s="5464"/>
      <c r="AE237" s="5464"/>
      <c r="AF237" s="5464"/>
      <c r="AG237" s="5464"/>
      <c r="AH237" s="5464"/>
      <c r="AI237" s="5464"/>
      <c r="AJ237" s="5463"/>
      <c r="AK237" s="5464"/>
      <c r="AL237" s="5464"/>
      <c r="AM237" s="5464"/>
      <c r="AN237" s="5464"/>
      <c r="AO237" s="5464"/>
      <c r="AP237" s="5465"/>
      <c r="AQ237" s="5463"/>
      <c r="AR237" s="5464"/>
      <c r="AS237" s="5464"/>
      <c r="AT237" s="5464"/>
      <c r="AU237" s="5464"/>
      <c r="AV237" s="5464"/>
      <c r="AW237" s="5465"/>
      <c r="AX237" s="5463"/>
      <c r="AY237" s="5464"/>
      <c r="AZ237" s="5464"/>
      <c r="BA237" s="5464"/>
      <c r="BB237" s="5464"/>
      <c r="BC237" s="5464"/>
      <c r="BD237" s="5465"/>
      <c r="BE237" s="5465"/>
      <c r="BF237" s="2206" t="s">
        <v>607</v>
      </c>
      <c r="BG237" s="2129"/>
      <c r="BH237" s="2207"/>
      <c r="BI237" s="2207" t="str">
        <f t="shared" si="4"/>
        <v>Наименование централизованной системы водоотведения</v>
      </c>
      <c r="BJ237" s="2207"/>
      <c r="BK237" s="2207"/>
      <c r="BL237" s="2054">
        <v>0</v>
      </c>
    </row>
    <row r="238" spans="1:64" s="5100" customFormat="1" ht="23.25" customHeight="1">
      <c r="A238" s="2197"/>
      <c r="B238" s="2197"/>
      <c r="C238" s="2197"/>
      <c r="D238" s="2197"/>
      <c r="E238" s="5470"/>
      <c r="F238" s="5470"/>
      <c r="G238" s="5470" t="s">
        <v>103</v>
      </c>
      <c r="H238" s="5470"/>
      <c r="I238" s="5471" t="str">
        <f>S237&amp;".1"</f>
        <v>1.8.3.1</v>
      </c>
      <c r="J238" s="2197"/>
      <c r="K238" s="2197"/>
      <c r="L238" s="2198"/>
      <c r="M238" s="2208"/>
      <c r="N238" s="2208"/>
      <c r="O238" s="2208"/>
      <c r="P238" s="5473">
        <v>1</v>
      </c>
      <c r="Q238" s="2209"/>
      <c r="R238" s="2210"/>
      <c r="S238" s="2203" t="str">
        <f>$I238</f>
        <v>1.8.3.1</v>
      </c>
      <c r="T238" s="2211" t="s">
        <v>573</v>
      </c>
      <c r="U238" s="2205"/>
      <c r="V238" s="5537"/>
      <c r="W238" s="5538"/>
      <c r="X238" s="5538"/>
      <c r="Y238" s="5538"/>
      <c r="Z238" s="5538"/>
      <c r="AA238" s="5538"/>
      <c r="AB238" s="5539"/>
      <c r="AC238" s="5540"/>
      <c r="AD238" s="5541"/>
      <c r="AE238" s="5541"/>
      <c r="AF238" s="5541"/>
      <c r="AG238" s="5541"/>
      <c r="AH238" s="5541"/>
      <c r="AI238" s="5541"/>
      <c r="AJ238" s="5537"/>
      <c r="AK238" s="5538"/>
      <c r="AL238" s="5538"/>
      <c r="AM238" s="5538"/>
      <c r="AN238" s="5538"/>
      <c r="AO238" s="5538"/>
      <c r="AP238" s="5539"/>
      <c r="AQ238" s="5537"/>
      <c r="AR238" s="5538"/>
      <c r="AS238" s="5538"/>
      <c r="AT238" s="5538"/>
      <c r="AU238" s="5538"/>
      <c r="AV238" s="5538"/>
      <c r="AW238" s="5539"/>
      <c r="AX238" s="5537"/>
      <c r="AY238" s="5538"/>
      <c r="AZ238" s="5538"/>
      <c r="BA238" s="5538"/>
      <c r="BB238" s="5538"/>
      <c r="BC238" s="5538"/>
      <c r="BD238" s="5539"/>
      <c r="BE238" s="5542"/>
      <c r="BF238" s="2206" t="s">
        <v>574</v>
      </c>
      <c r="BG238" s="2129"/>
      <c r="BH238" s="2207"/>
      <c r="BI238" s="2207" t="str">
        <f t="shared" si="4"/>
        <v>Наименование признака дифференциации</v>
      </c>
      <c r="BJ238" s="2207"/>
      <c r="BK238" s="2207"/>
      <c r="BL238" s="2054">
        <v>0</v>
      </c>
    </row>
    <row r="239" spans="1:64" s="5101" customFormat="1" ht="23.25" customHeight="1">
      <c r="A239" s="2197"/>
      <c r="B239" s="2197"/>
      <c r="C239" s="2197"/>
      <c r="D239" s="2197"/>
      <c r="E239" s="5470"/>
      <c r="F239" s="5470"/>
      <c r="G239" s="5470" t="s">
        <v>103</v>
      </c>
      <c r="H239" s="5470"/>
      <c r="I239" s="5472"/>
      <c r="J239" s="5471" t="str">
        <f>I238&amp;".1"</f>
        <v>1.8.3.1.1</v>
      </c>
      <c r="K239" s="2197"/>
      <c r="L239" s="2198" t="s">
        <v>499</v>
      </c>
      <c r="M239" s="2208"/>
      <c r="N239" s="2208"/>
      <c r="O239" s="2208"/>
      <c r="P239" s="5473"/>
      <c r="Q239" s="5473">
        <v>1</v>
      </c>
      <c r="R239" s="2212"/>
      <c r="S239" s="2203" t="str">
        <f>$J239</f>
        <v>1.8.3.1.1</v>
      </c>
      <c r="T239" s="2213" t="s">
        <v>500</v>
      </c>
      <c r="U239" s="2205"/>
      <c r="V239" s="5457"/>
      <c r="W239" s="5458"/>
      <c r="X239" s="5458"/>
      <c r="Y239" s="5458"/>
      <c r="Z239" s="5458"/>
      <c r="AA239" s="5458"/>
      <c r="AB239" s="5459"/>
      <c r="AC239" s="5457" t="s">
        <v>611</v>
      </c>
      <c r="AD239" s="5458"/>
      <c r="AE239" s="5458"/>
      <c r="AF239" s="5458"/>
      <c r="AG239" s="5458"/>
      <c r="AH239" s="5458"/>
      <c r="AI239" s="5458"/>
      <c r="AJ239" s="5457"/>
      <c r="AK239" s="5458"/>
      <c r="AL239" s="5458"/>
      <c r="AM239" s="5458"/>
      <c r="AN239" s="5458"/>
      <c r="AO239" s="5458"/>
      <c r="AP239" s="5459"/>
      <c r="AQ239" s="5457"/>
      <c r="AR239" s="5458"/>
      <c r="AS239" s="5458"/>
      <c r="AT239" s="5458"/>
      <c r="AU239" s="5458"/>
      <c r="AV239" s="5458"/>
      <c r="AW239" s="5459"/>
      <c r="AX239" s="5457"/>
      <c r="AY239" s="5458"/>
      <c r="AZ239" s="5458"/>
      <c r="BA239" s="5458"/>
      <c r="BB239" s="5458"/>
      <c r="BC239" s="5458"/>
      <c r="BD239" s="5459"/>
      <c r="BE239" s="5459"/>
      <c r="BF239" s="2214" t="s">
        <v>575</v>
      </c>
      <c r="BG239" s="2129"/>
      <c r="BH239" s="2207"/>
      <c r="BI239" s="2207" t="str">
        <f t="shared" si="4"/>
        <v>Группа потребителей</v>
      </c>
      <c r="BJ239" s="2207"/>
      <c r="BK239" s="2207"/>
      <c r="BL239" s="2054">
        <v>0</v>
      </c>
    </row>
    <row r="240" spans="1:64" s="5102" customFormat="1" ht="23.25" customHeight="1">
      <c r="A240" s="2197"/>
      <c r="B240" s="2197"/>
      <c r="C240" s="2197"/>
      <c r="D240" s="2197"/>
      <c r="E240" s="5470"/>
      <c r="F240" s="5470"/>
      <c r="G240" s="5470" t="s">
        <v>103</v>
      </c>
      <c r="H240" s="5470"/>
      <c r="I240" s="5472"/>
      <c r="J240" s="5472"/>
      <c r="K240" s="5471" t="str">
        <f>J239&amp;".1"</f>
        <v>1.8.3.1.1.1</v>
      </c>
      <c r="L240" s="2198"/>
      <c r="M240" s="2208"/>
      <c r="N240" s="2208"/>
      <c r="O240" s="2208"/>
      <c r="P240" s="5473"/>
      <c r="Q240" s="5473"/>
      <c r="R240" s="2212">
        <v>1</v>
      </c>
      <c r="S240" s="2203" t="str">
        <f>$K240</f>
        <v>1.8.3.1.1.1</v>
      </c>
      <c r="T240" s="2215" t="s">
        <v>569</v>
      </c>
      <c r="U240" s="2205"/>
      <c r="V240" s="2055"/>
      <c r="W240" s="2055"/>
      <c r="X240" s="2056"/>
      <c r="Y240" s="5474"/>
      <c r="Z240" s="5338" t="s">
        <v>66</v>
      </c>
      <c r="AA240" s="5474"/>
      <c r="AB240" s="5338" t="s">
        <v>66</v>
      </c>
      <c r="AC240" s="2055">
        <v>55.05</v>
      </c>
      <c r="AD240" s="2055"/>
      <c r="AE240" s="2056"/>
      <c r="AF240" s="5474">
        <v>45658.616203703707</v>
      </c>
      <c r="AG240" s="5338" t="s">
        <v>66</v>
      </c>
      <c r="AH240" s="5476">
        <v>46022.616481481484</v>
      </c>
      <c r="AI240" s="5338" t="s">
        <v>66</v>
      </c>
      <c r="AJ240" s="2055">
        <v>52.06</v>
      </c>
      <c r="AK240" s="2055"/>
      <c r="AL240" s="2056"/>
      <c r="AM240" s="5474">
        <v>46023.622488425928</v>
      </c>
      <c r="AN240" s="5338" t="s">
        <v>66</v>
      </c>
      <c r="AO240" s="5474">
        <v>46387.622673611113</v>
      </c>
      <c r="AP240" s="5338" t="s">
        <v>66</v>
      </c>
      <c r="AQ240" s="2055">
        <v>53.52</v>
      </c>
      <c r="AR240" s="2055"/>
      <c r="AS240" s="2056"/>
      <c r="AT240" s="5474">
        <v>46388.622800925928</v>
      </c>
      <c r="AU240" s="5338" t="s">
        <v>66</v>
      </c>
      <c r="AV240" s="5474">
        <v>46752.622928240744</v>
      </c>
      <c r="AW240" s="5338" t="s">
        <v>66</v>
      </c>
      <c r="AX240" s="2055">
        <v>55.03</v>
      </c>
      <c r="AY240" s="2055"/>
      <c r="AZ240" s="2056"/>
      <c r="BA240" s="5474">
        <v>46753.623090277775</v>
      </c>
      <c r="BB240" s="5338" t="s">
        <v>66</v>
      </c>
      <c r="BC240" s="5474">
        <v>47118.623240740744</v>
      </c>
      <c r="BD240" s="5338" t="s">
        <v>66</v>
      </c>
      <c r="BE240" s="2216"/>
      <c r="BF240"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40" s="2129" t="e">
        <f ca="1">STRCHECKDATE(V241:BE241)</f>
        <v>#NAME?</v>
      </c>
      <c r="BH240" s="2207"/>
      <c r="BI240" s="2207" t="str">
        <f t="shared" si="4"/>
        <v>без НДС</v>
      </c>
      <c r="BJ240" s="2207"/>
      <c r="BK240" s="2207"/>
      <c r="BL240" s="2054">
        <v>0</v>
      </c>
    </row>
    <row r="241" spans="1:64" s="5103" customFormat="1" ht="14.25" customHeight="1">
      <c r="A241" s="2197"/>
      <c r="B241" s="2197"/>
      <c r="C241" s="2197"/>
      <c r="D241" s="2197"/>
      <c r="E241" s="5470"/>
      <c r="F241" s="5470"/>
      <c r="G241" s="5470" t="s">
        <v>103</v>
      </c>
      <c r="H241" s="5470"/>
      <c r="I241" s="5472"/>
      <c r="J241" s="5472"/>
      <c r="K241" s="5471"/>
      <c r="L241" s="2198"/>
      <c r="M241" s="2208"/>
      <c r="N241" s="2208"/>
      <c r="O241" s="2208"/>
      <c r="P241" s="5473"/>
      <c r="Q241" s="5473"/>
      <c r="R241" s="2212"/>
      <c r="S241" s="2217"/>
      <c r="T241" s="2205"/>
      <c r="U241" s="2205"/>
      <c r="V241" s="2057"/>
      <c r="W241" s="2057"/>
      <c r="X241" s="2058" t="str">
        <f>Y240&amp;"-"&amp;AA240</f>
        <v>-</v>
      </c>
      <c r="Y241" s="5475"/>
      <c r="Z241" s="5338"/>
      <c r="AA241" s="5475"/>
      <c r="AB241" s="5338"/>
      <c r="AC241" s="2057"/>
      <c r="AD241" s="2057"/>
      <c r="AE241" s="2058" t="str">
        <f>AF240&amp;"-"&amp;AH240</f>
        <v>45658,6162037037-46022,6164814815</v>
      </c>
      <c r="AF241" s="5475"/>
      <c r="AG241" s="5338"/>
      <c r="AH241" s="5477"/>
      <c r="AI241" s="5338"/>
      <c r="AJ241" s="2057"/>
      <c r="AK241" s="2057"/>
      <c r="AL241" s="2058" t="str">
        <f>AM240&amp;"-"&amp;AO240</f>
        <v>46023,6224884259-46387,6226736111</v>
      </c>
      <c r="AM241" s="5475"/>
      <c r="AN241" s="5338"/>
      <c r="AO241" s="5475"/>
      <c r="AP241" s="5338"/>
      <c r="AQ241" s="2057"/>
      <c r="AR241" s="2057"/>
      <c r="AS241" s="2058" t="str">
        <f>AT240&amp;"-"&amp;AV240</f>
        <v>46388,6228009259-46752,6229282407</v>
      </c>
      <c r="AT241" s="5475"/>
      <c r="AU241" s="5338"/>
      <c r="AV241" s="5475"/>
      <c r="AW241" s="5338"/>
      <c r="AX241" s="2057"/>
      <c r="AY241" s="2057"/>
      <c r="AZ241" s="2058" t="str">
        <f>BA240&amp;"-"&amp;BC240</f>
        <v>46753,6230902778-47118,6232407407</v>
      </c>
      <c r="BA241" s="5475"/>
      <c r="BB241" s="5338"/>
      <c r="BC241" s="5475"/>
      <c r="BD241" s="5338"/>
      <c r="BE241" s="2218"/>
      <c r="BF241" s="5543"/>
      <c r="BG241" s="2129"/>
      <c r="BH241" s="2207"/>
      <c r="BI241" s="2207" t="str">
        <f t="shared" si="4"/>
        <v/>
      </c>
      <c r="BJ241" s="2207"/>
      <c r="BK241" s="2207"/>
      <c r="BL241" s="2054">
        <v>0</v>
      </c>
    </row>
    <row r="242" spans="1:64" s="5104" customFormat="1" ht="21" customHeight="1">
      <c r="A242" s="2197"/>
      <c r="B242" s="2197"/>
      <c r="C242" s="2197"/>
      <c r="D242" s="2197"/>
      <c r="E242" s="5470"/>
      <c r="F242" s="5470"/>
      <c r="G242" s="5470" t="s">
        <v>103</v>
      </c>
      <c r="H242" s="5470"/>
      <c r="I242" s="5472"/>
      <c r="J242" s="5471"/>
      <c r="K242" s="2197"/>
      <c r="L242" s="2198"/>
      <c r="M242" s="2208"/>
      <c r="N242" s="2208"/>
      <c r="O242" s="2208"/>
      <c r="P242" s="5473"/>
      <c r="Q242" s="5473"/>
      <c r="R242" s="2210"/>
      <c r="S242" s="3897"/>
      <c r="T242" s="3898" t="s">
        <v>576</v>
      </c>
      <c r="U242" s="3899"/>
      <c r="V242" s="3900"/>
      <c r="W242" s="3901"/>
      <c r="X242" s="3902"/>
      <c r="Y242" s="3903"/>
      <c r="Z242" s="3904"/>
      <c r="AA242" s="3905"/>
      <c r="AB242" s="3906"/>
      <c r="AC242" s="3907"/>
      <c r="AD242" s="3908"/>
      <c r="AE242" s="3909"/>
      <c r="AF242" s="3910"/>
      <c r="AG242" s="3911"/>
      <c r="AH242" s="3912"/>
      <c r="AI242" s="3913"/>
      <c r="AJ242" s="3914"/>
      <c r="AK242" s="3915"/>
      <c r="AL242" s="3916"/>
      <c r="AM242" s="3917"/>
      <c r="AN242" s="3918"/>
      <c r="AO242" s="3919"/>
      <c r="AP242" s="3920"/>
      <c r="AQ242" s="3921"/>
      <c r="AR242" s="3922"/>
      <c r="AS242" s="3923"/>
      <c r="AT242" s="3924"/>
      <c r="AU242" s="3925"/>
      <c r="AV242" s="3926"/>
      <c r="AW242" s="3927"/>
      <c r="AX242" s="3928"/>
      <c r="AY242" s="3929"/>
      <c r="AZ242" s="3930"/>
      <c r="BA242" s="3931"/>
      <c r="BB242" s="3932"/>
      <c r="BC242" s="3933"/>
      <c r="BD242" s="3934"/>
      <c r="BE242" s="3935"/>
      <c r="BF242" s="2206" t="s">
        <v>577</v>
      </c>
      <c r="BG242" s="2129"/>
      <c r="BH242" s="2207"/>
      <c r="BI242" s="2207" t="str">
        <f t="shared" si="4"/>
        <v>Добавить значение признака дифференциации</v>
      </c>
      <c r="BJ242" s="2207"/>
      <c r="BK242" s="2207"/>
      <c r="BL242" s="2054">
        <v>0</v>
      </c>
    </row>
    <row r="243" spans="1:64" s="5105" customFormat="1" ht="23.25" customHeight="1">
      <c r="A243" s="4309"/>
      <c r="B243" s="4309"/>
      <c r="C243" s="4309"/>
      <c r="D243" s="4309"/>
      <c r="E243" s="5470"/>
      <c r="F243" s="5470"/>
      <c r="G243" s="5470"/>
      <c r="H243" s="5470"/>
      <c r="I243" s="5472"/>
      <c r="J243" s="5471" t="str">
        <f>I238&amp;".2"</f>
        <v>1.8.3.1.2</v>
      </c>
      <c r="K243" s="4309"/>
      <c r="L243" s="4310" t="s">
        <v>499</v>
      </c>
      <c r="M243" s="4311"/>
      <c r="N243" s="4311"/>
      <c r="O243" s="4311"/>
      <c r="P243" s="5473"/>
      <c r="Q243" s="5553" t="s">
        <v>104</v>
      </c>
      <c r="R243" s="4312"/>
      <c r="S243" s="4313" t="str">
        <f>$J243</f>
        <v>1.8.3.1.2</v>
      </c>
      <c r="T243" s="4314" t="s">
        <v>500</v>
      </c>
      <c r="U243" s="4315"/>
      <c r="V243" s="5457"/>
      <c r="W243" s="5458"/>
      <c r="X243" s="5458"/>
      <c r="Y243" s="5458"/>
      <c r="Z243" s="5458"/>
      <c r="AA243" s="5458"/>
      <c r="AB243" s="5459"/>
      <c r="AC243" s="5457" t="s">
        <v>612</v>
      </c>
      <c r="AD243" s="5458"/>
      <c r="AE243" s="5458"/>
      <c r="AF243" s="5458"/>
      <c r="AG243" s="5458"/>
      <c r="AH243" s="5458"/>
      <c r="AI243" s="5458"/>
      <c r="AJ243" s="5457"/>
      <c r="AK243" s="5458"/>
      <c r="AL243" s="5458"/>
      <c r="AM243" s="5458"/>
      <c r="AN243" s="5458"/>
      <c r="AO243" s="5458"/>
      <c r="AP243" s="5459"/>
      <c r="AQ243" s="5457"/>
      <c r="AR243" s="5458"/>
      <c r="AS243" s="5458"/>
      <c r="AT243" s="5458"/>
      <c r="AU243" s="5458"/>
      <c r="AV243" s="5458"/>
      <c r="AW243" s="5459"/>
      <c r="AX243" s="5457"/>
      <c r="AY243" s="5458"/>
      <c r="AZ243" s="5458"/>
      <c r="BA243" s="5458"/>
      <c r="BB243" s="5458"/>
      <c r="BC243" s="5458"/>
      <c r="BD243" s="5554"/>
      <c r="BE243" s="5459"/>
      <c r="BF243" s="4316" t="s">
        <v>575</v>
      </c>
      <c r="BG243" s="4317"/>
      <c r="BH243" s="4318"/>
      <c r="BI243" s="4318" t="str">
        <f t="shared" si="4"/>
        <v>Группа потребителей</v>
      </c>
      <c r="BJ243" s="4318"/>
      <c r="BK243" s="4318"/>
      <c r="BL243" s="4319">
        <v>0</v>
      </c>
    </row>
    <row r="244" spans="1:64" s="5106" customFormat="1" ht="23.25" customHeight="1">
      <c r="A244" s="4309"/>
      <c r="B244" s="4309"/>
      <c r="C244" s="4309"/>
      <c r="D244" s="4309"/>
      <c r="E244" s="5470"/>
      <c r="F244" s="5470"/>
      <c r="G244" s="5470"/>
      <c r="H244" s="5470"/>
      <c r="I244" s="5472"/>
      <c r="J244" s="5472" t="str">
        <f>I238&amp;".1"</f>
        <v>1.8.3.1.1</v>
      </c>
      <c r="K244" s="5471" t="str">
        <f>J243&amp;".1"</f>
        <v>1.8.3.1.2.1</v>
      </c>
      <c r="L244" s="4310"/>
      <c r="M244" s="4311"/>
      <c r="N244" s="4311"/>
      <c r="O244" s="4311"/>
      <c r="P244" s="5473"/>
      <c r="Q244" s="5473"/>
      <c r="R244" s="4312">
        <v>1</v>
      </c>
      <c r="S244" s="4313" t="str">
        <f>$K244</f>
        <v>1.8.3.1.2.1</v>
      </c>
      <c r="T244" s="4321"/>
      <c r="U244" s="4315"/>
      <c r="V244" s="4322"/>
      <c r="W244" s="4322"/>
      <c r="X244" s="4323"/>
      <c r="Y244" s="5474"/>
      <c r="Z244" s="5338" t="s">
        <v>66</v>
      </c>
      <c r="AA244" s="5474"/>
      <c r="AB244" s="5338" t="s">
        <v>66</v>
      </c>
      <c r="AC244" s="4322">
        <v>66.06</v>
      </c>
      <c r="AD244" s="4322"/>
      <c r="AE244" s="4323"/>
      <c r="AF244" s="5474">
        <v>45658.700150462966</v>
      </c>
      <c r="AG244" s="5338" t="s">
        <v>66</v>
      </c>
      <c r="AH244" s="5476">
        <v>46022.700185185182</v>
      </c>
      <c r="AI244" s="5338" t="s">
        <v>66</v>
      </c>
      <c r="AJ244" s="4322">
        <v>62.47</v>
      </c>
      <c r="AK244" s="4322"/>
      <c r="AL244" s="4323"/>
      <c r="AM244" s="5474">
        <v>46023.700312499997</v>
      </c>
      <c r="AN244" s="5338" t="s">
        <v>66</v>
      </c>
      <c r="AO244" s="5474">
        <v>46387.700381944444</v>
      </c>
      <c r="AP244" s="5338" t="s">
        <v>66</v>
      </c>
      <c r="AQ244" s="4322">
        <v>64.22</v>
      </c>
      <c r="AR244" s="4322"/>
      <c r="AS244" s="4323"/>
      <c r="AT244" s="5474">
        <v>46388.70239583333</v>
      </c>
      <c r="AU244" s="5338" t="s">
        <v>66</v>
      </c>
      <c r="AV244" s="5474">
        <v>46752.702465277776</v>
      </c>
      <c r="AW244" s="5338" t="s">
        <v>66</v>
      </c>
      <c r="AX244" s="4322">
        <v>66.040000000000006</v>
      </c>
      <c r="AY244" s="4322"/>
      <c r="AZ244" s="4323"/>
      <c r="BA244" s="5474">
        <v>46753.7028125</v>
      </c>
      <c r="BB244" s="5338" t="s">
        <v>66</v>
      </c>
      <c r="BC244" s="5474">
        <v>47118.702951388892</v>
      </c>
      <c r="BD244" s="5555" t="s">
        <v>66</v>
      </c>
      <c r="BE244" s="4324"/>
      <c r="BF244"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44" s="4317" t="e">
        <f ca="1">STRCHECKDATE(V245:BE245)</f>
        <v>#NAME?</v>
      </c>
      <c r="BH244" s="4318"/>
      <c r="BI244" s="4318" t="str">
        <f t="shared" si="4"/>
        <v/>
      </c>
      <c r="BJ244" s="4318"/>
      <c r="BK244" s="4318"/>
      <c r="BL244" s="4319">
        <v>0</v>
      </c>
    </row>
    <row r="245" spans="1:64" s="5107" customFormat="1" ht="14.25" customHeight="1">
      <c r="A245" s="4309"/>
      <c r="B245" s="4309"/>
      <c r="C245" s="4309"/>
      <c r="D245" s="4309"/>
      <c r="E245" s="5470"/>
      <c r="F245" s="5470"/>
      <c r="G245" s="5470"/>
      <c r="H245" s="5470"/>
      <c r="I245" s="5472"/>
      <c r="J245" s="5472" t="str">
        <f>I238&amp;".1"</f>
        <v>1.8.3.1.1</v>
      </c>
      <c r="K245" s="5471"/>
      <c r="L245" s="4310"/>
      <c r="M245" s="4311"/>
      <c r="N245" s="4311"/>
      <c r="O245" s="4311"/>
      <c r="P245" s="5473"/>
      <c r="Q245" s="5473"/>
      <c r="R245" s="4312"/>
      <c r="S245" s="4326"/>
      <c r="T245" s="4315"/>
      <c r="U245" s="4315"/>
      <c r="V245" s="4327"/>
      <c r="W245" s="4327"/>
      <c r="X245" s="4328" t="str">
        <f>Y244&amp;"-"&amp;AA244</f>
        <v>-</v>
      </c>
      <c r="Y245" s="5475"/>
      <c r="Z245" s="5338"/>
      <c r="AA245" s="5475"/>
      <c r="AB245" s="5338"/>
      <c r="AC245" s="4327"/>
      <c r="AD245" s="4327"/>
      <c r="AE245" s="4328" t="str">
        <f>AF244&amp;"-"&amp;AH244</f>
        <v>45658,700150463-46022,7001851852</v>
      </c>
      <c r="AF245" s="5475"/>
      <c r="AG245" s="5338"/>
      <c r="AH245" s="5477"/>
      <c r="AI245" s="5338"/>
      <c r="AJ245" s="4327"/>
      <c r="AK245" s="4327"/>
      <c r="AL245" s="4328" t="str">
        <f>AM244&amp;"-"&amp;AO244</f>
        <v>46023,7003125-46387,7003819444</v>
      </c>
      <c r="AM245" s="5475"/>
      <c r="AN245" s="5338"/>
      <c r="AO245" s="5475"/>
      <c r="AP245" s="5338"/>
      <c r="AQ245" s="4327"/>
      <c r="AR245" s="4327"/>
      <c r="AS245" s="4328" t="str">
        <f>AT244&amp;"-"&amp;AV244</f>
        <v>46388,7023958333-46752,7024652778</v>
      </c>
      <c r="AT245" s="5475"/>
      <c r="AU245" s="5338"/>
      <c r="AV245" s="5475"/>
      <c r="AW245" s="5338"/>
      <c r="AX245" s="4327"/>
      <c r="AY245" s="4327"/>
      <c r="AZ245" s="4328" t="str">
        <f>BA244&amp;"-"&amp;BC244</f>
        <v>46753,7028125-47118,7029513889</v>
      </c>
      <c r="BA245" s="5475"/>
      <c r="BB245" s="5338"/>
      <c r="BC245" s="5475"/>
      <c r="BD245" s="5555"/>
      <c r="BE245" s="4329"/>
      <c r="BF245" s="5543"/>
      <c r="BG245" s="4317"/>
      <c r="BH245" s="4318"/>
      <c r="BI245" s="4318" t="str">
        <f t="shared" si="4"/>
        <v/>
      </c>
      <c r="BJ245" s="4318"/>
      <c r="BK245" s="4318"/>
      <c r="BL245" s="4319">
        <v>0</v>
      </c>
    </row>
    <row r="246" spans="1:64" s="5108" customFormat="1" ht="21" customHeight="1">
      <c r="A246" s="4309"/>
      <c r="B246" s="4309"/>
      <c r="C246" s="4309"/>
      <c r="D246" s="4309"/>
      <c r="E246" s="5470"/>
      <c r="F246" s="5470"/>
      <c r="G246" s="5470"/>
      <c r="H246" s="5470"/>
      <c r="I246" s="5472"/>
      <c r="J246" s="5471" t="str">
        <f>I238&amp;".1"</f>
        <v>1.8.3.1.1</v>
      </c>
      <c r="K246" s="4309"/>
      <c r="L246" s="4310"/>
      <c r="M246" s="4311"/>
      <c r="N246" s="4311"/>
      <c r="O246" s="4311"/>
      <c r="P246" s="5473"/>
      <c r="Q246" s="5473"/>
      <c r="R246" s="4331"/>
      <c r="S246" s="5109"/>
      <c r="T246" s="5110" t="s">
        <v>576</v>
      </c>
      <c r="U246" s="5111"/>
      <c r="V246" s="5112"/>
      <c r="W246" s="5113"/>
      <c r="X246" s="5114"/>
      <c r="Y246" s="5115"/>
      <c r="Z246" s="5116"/>
      <c r="AA246" s="5117"/>
      <c r="AB246" s="5118"/>
      <c r="AC246" s="5119"/>
      <c r="AD246" s="5120"/>
      <c r="AE246" s="5121"/>
      <c r="AF246" s="5122"/>
      <c r="AG246" s="5123"/>
      <c r="AH246" s="5124"/>
      <c r="AI246" s="5125"/>
      <c r="AJ246" s="5126"/>
      <c r="AK246" s="5127"/>
      <c r="AL246" s="5128"/>
      <c r="AM246" s="5129"/>
      <c r="AN246" s="5130"/>
      <c r="AO246" s="5131"/>
      <c r="AP246" s="5132"/>
      <c r="AQ246" s="5133"/>
      <c r="AR246" s="5134"/>
      <c r="AS246" s="5135"/>
      <c r="AT246" s="5136"/>
      <c r="AU246" s="5137"/>
      <c r="AV246" s="5138"/>
      <c r="AW246" s="5139"/>
      <c r="AX246" s="5140"/>
      <c r="AY246" s="5141"/>
      <c r="AZ246" s="5142"/>
      <c r="BA246" s="5143"/>
      <c r="BB246" s="5144"/>
      <c r="BC246" s="5145"/>
      <c r="BD246" s="5146"/>
      <c r="BE246" s="5147"/>
      <c r="BF246" s="4371" t="s">
        <v>577</v>
      </c>
      <c r="BG246" s="4317"/>
      <c r="BH246" s="4318"/>
      <c r="BI246" s="4318" t="str">
        <f t="shared" si="4"/>
        <v>Добавить значение признака дифференциации</v>
      </c>
      <c r="BJ246" s="4318"/>
      <c r="BK246" s="4318"/>
      <c r="BL246" s="4319">
        <v>0</v>
      </c>
    </row>
    <row r="247" spans="1:64" s="5148" customFormat="1" ht="21" customHeight="1">
      <c r="A247" s="2197"/>
      <c r="B247" s="2197"/>
      <c r="C247" s="2197"/>
      <c r="D247" s="2197"/>
      <c r="E247" s="5470"/>
      <c r="F247" s="5470"/>
      <c r="G247" s="5470" t="s">
        <v>103</v>
      </c>
      <c r="H247" s="5470"/>
      <c r="I247" s="5471"/>
      <c r="J247" s="2197"/>
      <c r="K247" s="2197"/>
      <c r="L247" s="2198"/>
      <c r="M247" s="2208"/>
      <c r="N247" s="2208"/>
      <c r="O247" s="2208"/>
      <c r="P247" s="5473"/>
      <c r="Q247" s="2209"/>
      <c r="R247" s="2210"/>
      <c r="S247" s="3936"/>
      <c r="T247" s="3937" t="s">
        <v>505</v>
      </c>
      <c r="U247" s="3938"/>
      <c r="V247" s="3939"/>
      <c r="W247" s="3940"/>
      <c r="X247" s="3941"/>
      <c r="Y247" s="3942"/>
      <c r="Z247" s="3943"/>
      <c r="AA247" s="3944"/>
      <c r="AB247" s="3945"/>
      <c r="AC247" s="3946"/>
      <c r="AD247" s="3947"/>
      <c r="AE247" s="3948"/>
      <c r="AF247" s="3949"/>
      <c r="AG247" s="3950"/>
      <c r="AH247" s="3951"/>
      <c r="AI247" s="3952"/>
      <c r="AJ247" s="3953"/>
      <c r="AK247" s="3954"/>
      <c r="AL247" s="3955"/>
      <c r="AM247" s="3956"/>
      <c r="AN247" s="3957"/>
      <c r="AO247" s="3958"/>
      <c r="AP247" s="3959"/>
      <c r="AQ247" s="3960"/>
      <c r="AR247" s="3961"/>
      <c r="AS247" s="3962"/>
      <c r="AT247" s="3963"/>
      <c r="AU247" s="3964"/>
      <c r="AV247" s="3965"/>
      <c r="AW247" s="3966"/>
      <c r="AX247" s="3967"/>
      <c r="AY247" s="3968"/>
      <c r="AZ247" s="3969"/>
      <c r="BA247" s="3970"/>
      <c r="BB247" s="3971"/>
      <c r="BC247" s="3972"/>
      <c r="BD247" s="3973"/>
      <c r="BE247" s="3974"/>
      <c r="BF247" s="3975"/>
      <c r="BG247" s="2129"/>
      <c r="BH247" s="2207"/>
      <c r="BI247" s="2207" t="str">
        <f t="shared" si="4"/>
        <v>Добавить группу потребителей</v>
      </c>
      <c r="BJ247" s="2207"/>
      <c r="BK247" s="2207"/>
      <c r="BL247" s="2054">
        <v>0</v>
      </c>
    </row>
    <row r="248" spans="1:64" s="5149" customFormat="1" ht="21" customHeight="1">
      <c r="A248" s="2197"/>
      <c r="B248" s="2197"/>
      <c r="C248" s="2197"/>
      <c r="D248" s="2197"/>
      <c r="E248" s="5470"/>
      <c r="F248" s="5470"/>
      <c r="G248" s="5470" t="s">
        <v>103</v>
      </c>
      <c r="H248" s="5469"/>
      <c r="I248" s="2197"/>
      <c r="J248" s="2197"/>
      <c r="K248" s="2197"/>
      <c r="L248" s="2198"/>
      <c r="M248" s="2199"/>
      <c r="N248" s="2199"/>
      <c r="O248" s="2123"/>
      <c r="P248" s="2298"/>
      <c r="Q248" s="2299"/>
      <c r="R248" s="2300"/>
      <c r="S248" s="3976"/>
      <c r="T248" s="3977" t="s">
        <v>578</v>
      </c>
      <c r="U248" s="3978"/>
      <c r="V248" s="3979"/>
      <c r="W248" s="3980"/>
      <c r="X248" s="3981"/>
      <c r="Y248" s="3982"/>
      <c r="Z248" s="3983"/>
      <c r="AA248" s="3984"/>
      <c r="AB248" s="3985"/>
      <c r="AC248" s="3986"/>
      <c r="AD248" s="3987"/>
      <c r="AE248" s="3988"/>
      <c r="AF248" s="3989"/>
      <c r="AG248" s="3990"/>
      <c r="AH248" s="3991"/>
      <c r="AI248" s="3992"/>
      <c r="AJ248" s="3993"/>
      <c r="AK248" s="3994"/>
      <c r="AL248" s="3995"/>
      <c r="AM248" s="3996"/>
      <c r="AN248" s="3997"/>
      <c r="AO248" s="3998"/>
      <c r="AP248" s="3999"/>
      <c r="AQ248" s="4000"/>
      <c r="AR248" s="4001"/>
      <c r="AS248" s="4002"/>
      <c r="AT248" s="4003"/>
      <c r="AU248" s="4004"/>
      <c r="AV248" s="4005"/>
      <c r="AW248" s="4006"/>
      <c r="AX248" s="4007"/>
      <c r="AY248" s="4008"/>
      <c r="AZ248" s="4009"/>
      <c r="BA248" s="4010"/>
      <c r="BB248" s="4011"/>
      <c r="BC248" s="4012"/>
      <c r="BD248" s="4013"/>
      <c r="BE248" s="4014"/>
      <c r="BF248" s="4015"/>
      <c r="BG248" s="2129"/>
      <c r="BH248" s="2207"/>
      <c r="BI248" s="2207" t="str">
        <f t="shared" si="4"/>
        <v>Добавить наименование признака дифференциации</v>
      </c>
      <c r="BJ248" s="2207"/>
      <c r="BK248" s="2207"/>
      <c r="BL248" s="2054">
        <v>0</v>
      </c>
    </row>
    <row r="249" spans="1:64" s="5150" customFormat="1" ht="23.25" customHeight="1">
      <c r="A249" s="2197"/>
      <c r="B249" s="2197"/>
      <c r="C249" s="2197" t="s">
        <v>354</v>
      </c>
      <c r="D249" s="2197"/>
      <c r="E249" s="5470"/>
      <c r="F249" s="5470"/>
      <c r="G249" s="5469" t="s">
        <v>91</v>
      </c>
      <c r="H249" s="2197"/>
      <c r="I249" s="2197"/>
      <c r="J249" s="2197"/>
      <c r="K249" s="2197"/>
      <c r="L249" s="2198"/>
      <c r="M249" s="2199"/>
      <c r="N249" s="2199"/>
      <c r="O249" s="2199"/>
      <c r="P249" s="2200"/>
      <c r="Q249" s="2201"/>
      <c r="R249" s="2202"/>
      <c r="S249" s="2203" t="str">
        <f>INDEX(PT_DIFFERENTIATION_NUM_CS,MATCH(C249,PT_DIFFERENTIATION_CS_ID,0))</f>
        <v>1.8.4</v>
      </c>
      <c r="T249" s="2204" t="s">
        <v>606</v>
      </c>
      <c r="U249" s="2205"/>
      <c r="V249" s="5463"/>
      <c r="W249" s="5464"/>
      <c r="X249" s="5464"/>
      <c r="Y249" s="5464"/>
      <c r="Z249" s="5464"/>
      <c r="AA249" s="5464"/>
      <c r="AB249" s="5465"/>
      <c r="AC249" s="5463" t="str">
        <f>INDEX(PT_DIFFERENTIATION_CS,MATCH(C249,PT_DIFFERENTIATION_CS_ID,0))</f>
        <v>с. Снегуровка</v>
      </c>
      <c r="AD249" s="5464"/>
      <c r="AE249" s="5464"/>
      <c r="AF249" s="5464"/>
      <c r="AG249" s="5464"/>
      <c r="AH249" s="5464"/>
      <c r="AI249" s="5464"/>
      <c r="AJ249" s="5463"/>
      <c r="AK249" s="5464"/>
      <c r="AL249" s="5464"/>
      <c r="AM249" s="5464"/>
      <c r="AN249" s="5464"/>
      <c r="AO249" s="5464"/>
      <c r="AP249" s="5465"/>
      <c r="AQ249" s="5463"/>
      <c r="AR249" s="5464"/>
      <c r="AS249" s="5464"/>
      <c r="AT249" s="5464"/>
      <c r="AU249" s="5464"/>
      <c r="AV249" s="5464"/>
      <c r="AW249" s="5465"/>
      <c r="AX249" s="5463"/>
      <c r="AY249" s="5464"/>
      <c r="AZ249" s="5464"/>
      <c r="BA249" s="5464"/>
      <c r="BB249" s="5464"/>
      <c r="BC249" s="5464"/>
      <c r="BD249" s="5465"/>
      <c r="BE249" s="5465"/>
      <c r="BF249" s="2206" t="s">
        <v>607</v>
      </c>
      <c r="BG249" s="2129"/>
      <c r="BH249" s="2207"/>
      <c r="BI249" s="2207" t="str">
        <f t="shared" si="4"/>
        <v>Наименование централизованной системы водоотведения</v>
      </c>
      <c r="BJ249" s="2207"/>
      <c r="BK249" s="2207"/>
      <c r="BL249" s="2054">
        <v>0</v>
      </c>
    </row>
    <row r="250" spans="1:64" s="5151" customFormat="1" ht="23.25" customHeight="1">
      <c r="A250" s="2197"/>
      <c r="B250" s="2197"/>
      <c r="C250" s="2197"/>
      <c r="D250" s="2197"/>
      <c r="E250" s="5470"/>
      <c r="F250" s="5470"/>
      <c r="G250" s="5470" t="s">
        <v>90</v>
      </c>
      <c r="H250" s="5470"/>
      <c r="I250" s="5471" t="str">
        <f>S249&amp;".1"</f>
        <v>1.8.4.1</v>
      </c>
      <c r="J250" s="2197"/>
      <c r="K250" s="2197"/>
      <c r="L250" s="2198"/>
      <c r="M250" s="2208"/>
      <c r="N250" s="2208"/>
      <c r="O250" s="2208"/>
      <c r="P250" s="5473">
        <v>1</v>
      </c>
      <c r="Q250" s="2209"/>
      <c r="R250" s="2210"/>
      <c r="S250" s="2203" t="str">
        <f>$I250</f>
        <v>1.8.4.1</v>
      </c>
      <c r="T250" s="2211" t="s">
        <v>573</v>
      </c>
      <c r="U250" s="2205"/>
      <c r="V250" s="5537"/>
      <c r="W250" s="5538"/>
      <c r="X250" s="5538"/>
      <c r="Y250" s="5538"/>
      <c r="Z250" s="5538"/>
      <c r="AA250" s="5538"/>
      <c r="AB250" s="5539"/>
      <c r="AC250" s="5540"/>
      <c r="AD250" s="5541"/>
      <c r="AE250" s="5541"/>
      <c r="AF250" s="5541"/>
      <c r="AG250" s="5541"/>
      <c r="AH250" s="5541"/>
      <c r="AI250" s="5541"/>
      <c r="AJ250" s="5537"/>
      <c r="AK250" s="5538"/>
      <c r="AL250" s="5538"/>
      <c r="AM250" s="5538"/>
      <c r="AN250" s="5538"/>
      <c r="AO250" s="5538"/>
      <c r="AP250" s="5539"/>
      <c r="AQ250" s="5537"/>
      <c r="AR250" s="5538"/>
      <c r="AS250" s="5538"/>
      <c r="AT250" s="5538"/>
      <c r="AU250" s="5538"/>
      <c r="AV250" s="5538"/>
      <c r="AW250" s="5539"/>
      <c r="AX250" s="5537"/>
      <c r="AY250" s="5538"/>
      <c r="AZ250" s="5538"/>
      <c r="BA250" s="5538"/>
      <c r="BB250" s="5538"/>
      <c r="BC250" s="5538"/>
      <c r="BD250" s="5539"/>
      <c r="BE250" s="5542"/>
      <c r="BF250" s="2206" t="s">
        <v>574</v>
      </c>
      <c r="BG250" s="2129"/>
      <c r="BH250" s="2207"/>
      <c r="BI250" s="2207" t="str">
        <f t="shared" si="4"/>
        <v>Наименование признака дифференциации</v>
      </c>
      <c r="BJ250" s="2207"/>
      <c r="BK250" s="2207"/>
      <c r="BL250" s="2054">
        <v>0</v>
      </c>
    </row>
    <row r="251" spans="1:64" s="5152" customFormat="1" ht="23.25" customHeight="1">
      <c r="A251" s="2197"/>
      <c r="B251" s="2197"/>
      <c r="C251" s="2197"/>
      <c r="D251" s="2197"/>
      <c r="E251" s="5470"/>
      <c r="F251" s="5470"/>
      <c r="G251" s="5470" t="s">
        <v>90</v>
      </c>
      <c r="H251" s="5470"/>
      <c r="I251" s="5472"/>
      <c r="J251" s="5471" t="str">
        <f>I250&amp;".1"</f>
        <v>1.8.4.1.1</v>
      </c>
      <c r="K251" s="2197"/>
      <c r="L251" s="2198" t="s">
        <v>499</v>
      </c>
      <c r="M251" s="2208"/>
      <c r="N251" s="2208"/>
      <c r="O251" s="2208"/>
      <c r="P251" s="5473"/>
      <c r="Q251" s="5473">
        <v>1</v>
      </c>
      <c r="R251" s="2212"/>
      <c r="S251" s="2203" t="str">
        <f>$J251</f>
        <v>1.8.4.1.1</v>
      </c>
      <c r="T251" s="2213" t="s">
        <v>500</v>
      </c>
      <c r="U251" s="2205"/>
      <c r="V251" s="5457"/>
      <c r="W251" s="5458"/>
      <c r="X251" s="5458"/>
      <c r="Y251" s="5458"/>
      <c r="Z251" s="5458"/>
      <c r="AA251" s="5458"/>
      <c r="AB251" s="5459"/>
      <c r="AC251" s="5457" t="s">
        <v>611</v>
      </c>
      <c r="AD251" s="5458"/>
      <c r="AE251" s="5458"/>
      <c r="AF251" s="5458"/>
      <c r="AG251" s="5458"/>
      <c r="AH251" s="5458"/>
      <c r="AI251" s="5458"/>
      <c r="AJ251" s="5457"/>
      <c r="AK251" s="5458"/>
      <c r="AL251" s="5458"/>
      <c r="AM251" s="5458"/>
      <c r="AN251" s="5458"/>
      <c r="AO251" s="5458"/>
      <c r="AP251" s="5459"/>
      <c r="AQ251" s="5457"/>
      <c r="AR251" s="5458"/>
      <c r="AS251" s="5458"/>
      <c r="AT251" s="5458"/>
      <c r="AU251" s="5458"/>
      <c r="AV251" s="5458"/>
      <c r="AW251" s="5459"/>
      <c r="AX251" s="5457"/>
      <c r="AY251" s="5458"/>
      <c r="AZ251" s="5458"/>
      <c r="BA251" s="5458"/>
      <c r="BB251" s="5458"/>
      <c r="BC251" s="5458"/>
      <c r="BD251" s="5459"/>
      <c r="BE251" s="5459"/>
      <c r="BF251" s="2214" t="s">
        <v>575</v>
      </c>
      <c r="BG251" s="2129"/>
      <c r="BH251" s="2207"/>
      <c r="BI251" s="2207" t="str">
        <f t="shared" si="4"/>
        <v>Группа потребителей</v>
      </c>
      <c r="BJ251" s="2207"/>
      <c r="BK251" s="2207"/>
      <c r="BL251" s="2054">
        <v>0</v>
      </c>
    </row>
    <row r="252" spans="1:64" s="5153" customFormat="1" ht="23.25" customHeight="1">
      <c r="A252" s="2197"/>
      <c r="B252" s="2197"/>
      <c r="C252" s="2197"/>
      <c r="D252" s="2197"/>
      <c r="E252" s="5470"/>
      <c r="F252" s="5470"/>
      <c r="G252" s="5470" t="s">
        <v>90</v>
      </c>
      <c r="H252" s="5470"/>
      <c r="I252" s="5472"/>
      <c r="J252" s="5472"/>
      <c r="K252" s="5471" t="str">
        <f>J251&amp;".1"</f>
        <v>1.8.4.1.1.1</v>
      </c>
      <c r="L252" s="2198"/>
      <c r="M252" s="2208"/>
      <c r="N252" s="2208"/>
      <c r="O252" s="2208"/>
      <c r="P252" s="5473"/>
      <c r="Q252" s="5473"/>
      <c r="R252" s="2212">
        <v>1</v>
      </c>
      <c r="S252" s="2203" t="str">
        <f>$K252</f>
        <v>1.8.4.1.1.1</v>
      </c>
      <c r="T252" s="2215" t="s">
        <v>569</v>
      </c>
      <c r="U252" s="2205"/>
      <c r="V252" s="2055"/>
      <c r="W252" s="2055"/>
      <c r="X252" s="2056"/>
      <c r="Y252" s="5474"/>
      <c r="Z252" s="5338" t="s">
        <v>66</v>
      </c>
      <c r="AA252" s="5474"/>
      <c r="AB252" s="5338" t="s">
        <v>66</v>
      </c>
      <c r="AC252" s="2055">
        <v>201.38</v>
      </c>
      <c r="AD252" s="2055"/>
      <c r="AE252" s="2056"/>
      <c r="AF252" s="5474">
        <v>45658.616585648146</v>
      </c>
      <c r="AG252" s="5338" t="s">
        <v>66</v>
      </c>
      <c r="AH252" s="5476">
        <v>46022.616724537038</v>
      </c>
      <c r="AI252" s="5338" t="s">
        <v>66</v>
      </c>
      <c r="AJ252" s="2055">
        <v>201.74</v>
      </c>
      <c r="AK252" s="2055"/>
      <c r="AL252" s="2056"/>
      <c r="AM252" s="5474">
        <v>46023.621111111112</v>
      </c>
      <c r="AN252" s="5338" t="s">
        <v>66</v>
      </c>
      <c r="AO252" s="5474">
        <v>46387.621238425927</v>
      </c>
      <c r="AP252" s="5338" t="s">
        <v>66</v>
      </c>
      <c r="AQ252" s="2055">
        <v>207.61</v>
      </c>
      <c r="AR252" s="2055"/>
      <c r="AS252" s="2056"/>
      <c r="AT252" s="5474">
        <v>46388.62164351852</v>
      </c>
      <c r="AU252" s="5338" t="s">
        <v>66</v>
      </c>
      <c r="AV252" s="5474">
        <v>46752.621770833335</v>
      </c>
      <c r="AW252" s="5338" t="s">
        <v>66</v>
      </c>
      <c r="AX252" s="2055">
        <v>213.64</v>
      </c>
      <c r="AY252" s="2055"/>
      <c r="AZ252" s="2056"/>
      <c r="BA252" s="5474">
        <v>46753.621921296297</v>
      </c>
      <c r="BB252" s="5338" t="s">
        <v>66</v>
      </c>
      <c r="BC252" s="5474">
        <v>47118.622025462966</v>
      </c>
      <c r="BD252" s="5338" t="s">
        <v>66</v>
      </c>
      <c r="BE252" s="2216"/>
      <c r="BF252"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52" s="2129" t="e">
        <f ca="1">STRCHECKDATE(V253:BE253)</f>
        <v>#NAME?</v>
      </c>
      <c r="BH252" s="2207"/>
      <c r="BI252" s="2207" t="str">
        <f t="shared" si="4"/>
        <v>без НДС</v>
      </c>
      <c r="BJ252" s="2207"/>
      <c r="BK252" s="2207"/>
      <c r="BL252" s="2054">
        <v>0</v>
      </c>
    </row>
    <row r="253" spans="1:64" s="5154" customFormat="1" ht="14.25" customHeight="1">
      <c r="A253" s="2197"/>
      <c r="B253" s="2197"/>
      <c r="C253" s="2197"/>
      <c r="D253" s="2197"/>
      <c r="E253" s="5470"/>
      <c r="F253" s="5470"/>
      <c r="G253" s="5470" t="s">
        <v>90</v>
      </c>
      <c r="H253" s="5470"/>
      <c r="I253" s="5472"/>
      <c r="J253" s="5472"/>
      <c r="K253" s="5471"/>
      <c r="L253" s="2198"/>
      <c r="M253" s="2208"/>
      <c r="N253" s="2208"/>
      <c r="O253" s="2208"/>
      <c r="P253" s="5473"/>
      <c r="Q253" s="5473"/>
      <c r="R253" s="2212"/>
      <c r="S253" s="2217"/>
      <c r="T253" s="2205"/>
      <c r="U253" s="2205"/>
      <c r="V253" s="2057"/>
      <c r="W253" s="2057"/>
      <c r="X253" s="2058" t="str">
        <f>Y252&amp;"-"&amp;AA252</f>
        <v>-</v>
      </c>
      <c r="Y253" s="5475"/>
      <c r="Z253" s="5338"/>
      <c r="AA253" s="5475"/>
      <c r="AB253" s="5338"/>
      <c r="AC253" s="2057"/>
      <c r="AD253" s="2057"/>
      <c r="AE253" s="2058" t="str">
        <f>AF252&amp;"-"&amp;AH252</f>
        <v>45658,6165856481-46022,616724537</v>
      </c>
      <c r="AF253" s="5475"/>
      <c r="AG253" s="5338"/>
      <c r="AH253" s="5477"/>
      <c r="AI253" s="5338"/>
      <c r="AJ253" s="2057"/>
      <c r="AK253" s="2057"/>
      <c r="AL253" s="2058" t="str">
        <f>AM252&amp;"-"&amp;AO252</f>
        <v>46023,6211111111-46387,6212384259</v>
      </c>
      <c r="AM253" s="5475"/>
      <c r="AN253" s="5338"/>
      <c r="AO253" s="5475"/>
      <c r="AP253" s="5338"/>
      <c r="AQ253" s="2057"/>
      <c r="AR253" s="2057"/>
      <c r="AS253" s="2058" t="str">
        <f>AT252&amp;"-"&amp;AV252</f>
        <v>46388,6216435185-46752,6217708333</v>
      </c>
      <c r="AT253" s="5475"/>
      <c r="AU253" s="5338"/>
      <c r="AV253" s="5475"/>
      <c r="AW253" s="5338"/>
      <c r="AX253" s="2057"/>
      <c r="AY253" s="2057"/>
      <c r="AZ253" s="2058" t="str">
        <f>BA252&amp;"-"&amp;BC252</f>
        <v>46753,6219212963-47118,622025463</v>
      </c>
      <c r="BA253" s="5475"/>
      <c r="BB253" s="5338"/>
      <c r="BC253" s="5475"/>
      <c r="BD253" s="5338"/>
      <c r="BE253" s="2218"/>
      <c r="BF253" s="5543"/>
      <c r="BG253" s="2129"/>
      <c r="BH253" s="2207"/>
      <c r="BI253" s="2207" t="str">
        <f t="shared" si="4"/>
        <v/>
      </c>
      <c r="BJ253" s="2207"/>
      <c r="BK253" s="2207"/>
      <c r="BL253" s="2054">
        <v>0</v>
      </c>
    </row>
    <row r="254" spans="1:64" s="5155" customFormat="1" ht="21" customHeight="1">
      <c r="A254" s="2197"/>
      <c r="B254" s="2197"/>
      <c r="C254" s="2197"/>
      <c r="D254" s="2197"/>
      <c r="E254" s="5470"/>
      <c r="F254" s="5470"/>
      <c r="G254" s="5470" t="s">
        <v>90</v>
      </c>
      <c r="H254" s="5470"/>
      <c r="I254" s="5472"/>
      <c r="J254" s="5471"/>
      <c r="K254" s="2197"/>
      <c r="L254" s="2198"/>
      <c r="M254" s="2208"/>
      <c r="N254" s="2208"/>
      <c r="O254" s="2208"/>
      <c r="P254" s="5473"/>
      <c r="Q254" s="5473"/>
      <c r="R254" s="2210"/>
      <c r="S254" s="4016"/>
      <c r="T254" s="4017" t="s">
        <v>576</v>
      </c>
      <c r="U254" s="4018"/>
      <c r="V254" s="4019"/>
      <c r="W254" s="4020"/>
      <c r="X254" s="4021"/>
      <c r="Y254" s="4022"/>
      <c r="Z254" s="4023"/>
      <c r="AA254" s="4024"/>
      <c r="AB254" s="4025"/>
      <c r="AC254" s="4026"/>
      <c r="AD254" s="4027"/>
      <c r="AE254" s="4028"/>
      <c r="AF254" s="4029"/>
      <c r="AG254" s="4030"/>
      <c r="AH254" s="4031"/>
      <c r="AI254" s="4032"/>
      <c r="AJ254" s="4033"/>
      <c r="AK254" s="4034"/>
      <c r="AL254" s="4035"/>
      <c r="AM254" s="4036"/>
      <c r="AN254" s="4037"/>
      <c r="AO254" s="4038"/>
      <c r="AP254" s="4039"/>
      <c r="AQ254" s="4040"/>
      <c r="AR254" s="4041"/>
      <c r="AS254" s="4042"/>
      <c r="AT254" s="4043"/>
      <c r="AU254" s="4044"/>
      <c r="AV254" s="4045"/>
      <c r="AW254" s="4046"/>
      <c r="AX254" s="4047"/>
      <c r="AY254" s="4048"/>
      <c r="AZ254" s="4049"/>
      <c r="BA254" s="4050"/>
      <c r="BB254" s="4051"/>
      <c r="BC254" s="4052"/>
      <c r="BD254" s="4053"/>
      <c r="BE254" s="4054"/>
      <c r="BF254" s="2206" t="s">
        <v>577</v>
      </c>
      <c r="BG254" s="2129"/>
      <c r="BH254" s="2207"/>
      <c r="BI254" s="2207" t="str">
        <f t="shared" si="4"/>
        <v>Добавить значение признака дифференциации</v>
      </c>
      <c r="BJ254" s="2207"/>
      <c r="BK254" s="2207"/>
      <c r="BL254" s="2054">
        <v>0</v>
      </c>
    </row>
    <row r="255" spans="1:64" s="5156" customFormat="1" ht="23.25" customHeight="1">
      <c r="A255" s="4309"/>
      <c r="B255" s="4309"/>
      <c r="C255" s="4309"/>
      <c r="D255" s="4309"/>
      <c r="E255" s="5470"/>
      <c r="F255" s="5470"/>
      <c r="G255" s="5470"/>
      <c r="H255" s="5470"/>
      <c r="I255" s="5472"/>
      <c r="J255" s="5471" t="str">
        <f>I250&amp;".2"</f>
        <v>1.8.4.1.2</v>
      </c>
      <c r="K255" s="4309"/>
      <c r="L255" s="4310" t="s">
        <v>499</v>
      </c>
      <c r="M255" s="4311"/>
      <c r="N255" s="4311"/>
      <c r="O255" s="4311"/>
      <c r="P255" s="5473"/>
      <c r="Q255" s="5553" t="s">
        <v>104</v>
      </c>
      <c r="R255" s="4312"/>
      <c r="S255" s="4313" t="str">
        <f>$J255</f>
        <v>1.8.4.1.2</v>
      </c>
      <c r="T255" s="4314" t="s">
        <v>500</v>
      </c>
      <c r="U255" s="4315"/>
      <c r="V255" s="5457"/>
      <c r="W255" s="5458"/>
      <c r="X255" s="5458"/>
      <c r="Y255" s="5458"/>
      <c r="Z255" s="5458"/>
      <c r="AA255" s="5458"/>
      <c r="AB255" s="5459"/>
      <c r="AC255" s="5457" t="s">
        <v>612</v>
      </c>
      <c r="AD255" s="5458"/>
      <c r="AE255" s="5458"/>
      <c r="AF255" s="5458"/>
      <c r="AG255" s="5458"/>
      <c r="AH255" s="5458"/>
      <c r="AI255" s="5458"/>
      <c r="AJ255" s="5457"/>
      <c r="AK255" s="5458"/>
      <c r="AL255" s="5458"/>
      <c r="AM255" s="5458"/>
      <c r="AN255" s="5458"/>
      <c r="AO255" s="5458"/>
      <c r="AP255" s="5459"/>
      <c r="AQ255" s="5457"/>
      <c r="AR255" s="5458"/>
      <c r="AS255" s="5458"/>
      <c r="AT255" s="5458"/>
      <c r="AU255" s="5458"/>
      <c r="AV255" s="5458"/>
      <c r="AW255" s="5459"/>
      <c r="AX255" s="5457"/>
      <c r="AY255" s="5458"/>
      <c r="AZ255" s="5458"/>
      <c r="BA255" s="5458"/>
      <c r="BB255" s="5458"/>
      <c r="BC255" s="5458"/>
      <c r="BD255" s="5554"/>
      <c r="BE255" s="5459"/>
      <c r="BF255" s="4316" t="s">
        <v>575</v>
      </c>
      <c r="BG255" s="4317"/>
      <c r="BH255" s="4318"/>
      <c r="BI255" s="4318" t="str">
        <f t="shared" si="4"/>
        <v>Группа потребителей</v>
      </c>
      <c r="BJ255" s="4318"/>
      <c r="BK255" s="4318"/>
      <c r="BL255" s="4319">
        <v>0</v>
      </c>
    </row>
    <row r="256" spans="1:64" s="5157" customFormat="1" ht="23.25" customHeight="1">
      <c r="A256" s="4309"/>
      <c r="B256" s="4309"/>
      <c r="C256" s="4309"/>
      <c r="D256" s="4309"/>
      <c r="E256" s="5470"/>
      <c r="F256" s="5470"/>
      <c r="G256" s="5470"/>
      <c r="H256" s="5470"/>
      <c r="I256" s="5472"/>
      <c r="J256" s="5472" t="str">
        <f>I250&amp;".1"</f>
        <v>1.8.4.1.1</v>
      </c>
      <c r="K256" s="5471" t="str">
        <f>J255&amp;".1"</f>
        <v>1.8.4.1.2.1</v>
      </c>
      <c r="L256" s="4310"/>
      <c r="M256" s="4311"/>
      <c r="N256" s="4311"/>
      <c r="O256" s="4311"/>
      <c r="P256" s="5473"/>
      <c r="Q256" s="5473"/>
      <c r="R256" s="4312">
        <v>1</v>
      </c>
      <c r="S256" s="4313" t="str">
        <f>$K256</f>
        <v>1.8.4.1.2.1</v>
      </c>
      <c r="T256" s="4321"/>
      <c r="U256" s="4315"/>
      <c r="V256" s="4322"/>
      <c r="W256" s="4322"/>
      <c r="X256" s="4323"/>
      <c r="Y256" s="5474"/>
      <c r="Z256" s="5338" t="s">
        <v>66</v>
      </c>
      <c r="AA256" s="5474"/>
      <c r="AB256" s="5338" t="s">
        <v>66</v>
      </c>
      <c r="AC256" s="4322">
        <v>241.66</v>
      </c>
      <c r="AD256" s="4322"/>
      <c r="AE256" s="4323"/>
      <c r="AF256" s="5474">
        <v>45658.703703703701</v>
      </c>
      <c r="AG256" s="5338" t="s">
        <v>66</v>
      </c>
      <c r="AH256" s="5476">
        <v>46022.703738425924</v>
      </c>
      <c r="AI256" s="5338" t="s">
        <v>66</v>
      </c>
      <c r="AJ256" s="4322">
        <v>242.09</v>
      </c>
      <c r="AK256" s="4322"/>
      <c r="AL256" s="4323"/>
      <c r="AM256" s="5474">
        <v>46023.70385416667</v>
      </c>
      <c r="AN256" s="5338" t="s">
        <v>66</v>
      </c>
      <c r="AO256" s="5474">
        <v>46387.703923611109</v>
      </c>
      <c r="AP256" s="5338" t="s">
        <v>66</v>
      </c>
      <c r="AQ256" s="4322">
        <v>249.13</v>
      </c>
      <c r="AR256" s="4322"/>
      <c r="AS256" s="4323"/>
      <c r="AT256" s="5474">
        <v>46388.704282407409</v>
      </c>
      <c r="AU256" s="5338" t="s">
        <v>66</v>
      </c>
      <c r="AV256" s="5474">
        <v>46752.704375000001</v>
      </c>
      <c r="AW256" s="5338" t="s">
        <v>66</v>
      </c>
      <c r="AX256" s="4322">
        <v>256.37</v>
      </c>
      <c r="AY256" s="4322"/>
      <c r="AZ256" s="4323"/>
      <c r="BA256" s="5474">
        <v>46753.704641203702</v>
      </c>
      <c r="BB256" s="5338" t="s">
        <v>66</v>
      </c>
      <c r="BC256" s="5474">
        <v>47118.704710648148</v>
      </c>
      <c r="BD256" s="5555" t="s">
        <v>66</v>
      </c>
      <c r="BE256" s="4324"/>
      <c r="BF25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56" s="4317" t="e">
        <f ca="1">STRCHECKDATE(V257:BE257)</f>
        <v>#NAME?</v>
      </c>
      <c r="BH256" s="4318"/>
      <c r="BI256" s="4318" t="str">
        <f t="shared" si="4"/>
        <v/>
      </c>
      <c r="BJ256" s="4318"/>
      <c r="BK256" s="4318"/>
      <c r="BL256" s="4319">
        <v>0</v>
      </c>
    </row>
    <row r="257" spans="1:64" s="5158" customFormat="1" ht="14.25" customHeight="1">
      <c r="A257" s="4309"/>
      <c r="B257" s="4309"/>
      <c r="C257" s="4309"/>
      <c r="D257" s="4309"/>
      <c r="E257" s="5470"/>
      <c r="F257" s="5470"/>
      <c r="G257" s="5470"/>
      <c r="H257" s="5470"/>
      <c r="I257" s="5472"/>
      <c r="J257" s="5472" t="str">
        <f>I250&amp;".1"</f>
        <v>1.8.4.1.1</v>
      </c>
      <c r="K257" s="5471"/>
      <c r="L257" s="4310"/>
      <c r="M257" s="4311"/>
      <c r="N257" s="4311"/>
      <c r="O257" s="4311"/>
      <c r="P257" s="5473"/>
      <c r="Q257" s="5473"/>
      <c r="R257" s="4312"/>
      <c r="S257" s="4326"/>
      <c r="T257" s="4315"/>
      <c r="U257" s="4315"/>
      <c r="V257" s="4327"/>
      <c r="W257" s="4327"/>
      <c r="X257" s="4328" t="str">
        <f>Y256&amp;"-"&amp;AA256</f>
        <v>-</v>
      </c>
      <c r="Y257" s="5475"/>
      <c r="Z257" s="5338"/>
      <c r="AA257" s="5475"/>
      <c r="AB257" s="5338"/>
      <c r="AC257" s="4327"/>
      <c r="AD257" s="4327"/>
      <c r="AE257" s="4328" t="str">
        <f>AF256&amp;"-"&amp;AH256</f>
        <v>45658,7037037037-46022,7037384259</v>
      </c>
      <c r="AF257" s="5475"/>
      <c r="AG257" s="5338"/>
      <c r="AH257" s="5477"/>
      <c r="AI257" s="5338"/>
      <c r="AJ257" s="4327"/>
      <c r="AK257" s="4327"/>
      <c r="AL257" s="4328" t="str">
        <f>AM256&amp;"-"&amp;AO256</f>
        <v>46023,7038541666-46387,7039236111</v>
      </c>
      <c r="AM257" s="5475"/>
      <c r="AN257" s="5338"/>
      <c r="AO257" s="5475"/>
      <c r="AP257" s="5338"/>
      <c r="AQ257" s="4327"/>
      <c r="AR257" s="4327"/>
      <c r="AS257" s="4328" t="str">
        <f>AT256&amp;"-"&amp;AV256</f>
        <v>46388,7042824074-46752,704375</v>
      </c>
      <c r="AT257" s="5475"/>
      <c r="AU257" s="5338"/>
      <c r="AV257" s="5475"/>
      <c r="AW257" s="5338"/>
      <c r="AX257" s="4327"/>
      <c r="AY257" s="4327"/>
      <c r="AZ257" s="4328" t="str">
        <f>BA256&amp;"-"&amp;BC256</f>
        <v>46753,7046412037-47118,7047106481</v>
      </c>
      <c r="BA257" s="5475"/>
      <c r="BB257" s="5338"/>
      <c r="BC257" s="5475"/>
      <c r="BD257" s="5555"/>
      <c r="BE257" s="4329"/>
      <c r="BF257" s="5543"/>
      <c r="BG257" s="4317"/>
      <c r="BH257" s="4318"/>
      <c r="BI257" s="4318" t="str">
        <f t="shared" si="4"/>
        <v/>
      </c>
      <c r="BJ257" s="4318"/>
      <c r="BK257" s="4318"/>
      <c r="BL257" s="4319">
        <v>0</v>
      </c>
    </row>
    <row r="258" spans="1:64" s="5159" customFormat="1" ht="21" customHeight="1">
      <c r="A258" s="4309"/>
      <c r="B258" s="4309"/>
      <c r="C258" s="4309"/>
      <c r="D258" s="4309"/>
      <c r="E258" s="5470"/>
      <c r="F258" s="5470"/>
      <c r="G258" s="5470"/>
      <c r="H258" s="5470"/>
      <c r="I258" s="5472"/>
      <c r="J258" s="5471" t="str">
        <f>I250&amp;".1"</f>
        <v>1.8.4.1.1</v>
      </c>
      <c r="K258" s="4309"/>
      <c r="L258" s="4310"/>
      <c r="M258" s="4311"/>
      <c r="N258" s="4311"/>
      <c r="O258" s="4311"/>
      <c r="P258" s="5473"/>
      <c r="Q258" s="5473"/>
      <c r="R258" s="4331"/>
      <c r="S258" s="5160"/>
      <c r="T258" s="5161" t="s">
        <v>576</v>
      </c>
      <c r="U258" s="5162"/>
      <c r="V258" s="5163"/>
      <c r="W258" s="5164"/>
      <c r="X258" s="5165"/>
      <c r="Y258" s="5166"/>
      <c r="Z258" s="5167"/>
      <c r="AA258" s="5168"/>
      <c r="AB258" s="5169"/>
      <c r="AC258" s="5170"/>
      <c r="AD258" s="5171"/>
      <c r="AE258" s="5172"/>
      <c r="AF258" s="5173"/>
      <c r="AG258" s="5174"/>
      <c r="AH258" s="5175"/>
      <c r="AI258" s="5176"/>
      <c r="AJ258" s="5177"/>
      <c r="AK258" s="5178"/>
      <c r="AL258" s="5179"/>
      <c r="AM258" s="5180"/>
      <c r="AN258" s="5181"/>
      <c r="AO258" s="5182"/>
      <c r="AP258" s="5183"/>
      <c r="AQ258" s="5184"/>
      <c r="AR258" s="5185"/>
      <c r="AS258" s="5186"/>
      <c r="AT258" s="5187"/>
      <c r="AU258" s="5188"/>
      <c r="AV258" s="5189"/>
      <c r="AW258" s="5190"/>
      <c r="AX258" s="5191"/>
      <c r="AY258" s="5192"/>
      <c r="AZ258" s="5193"/>
      <c r="BA258" s="5194"/>
      <c r="BB258" s="5195"/>
      <c r="BC258" s="5196"/>
      <c r="BD258" s="5197"/>
      <c r="BE258" s="5198"/>
      <c r="BF258" s="4371" t="s">
        <v>577</v>
      </c>
      <c r="BG258" s="4317"/>
      <c r="BH258" s="4318"/>
      <c r="BI258" s="4318" t="str">
        <f t="shared" si="4"/>
        <v>Добавить значение признака дифференциации</v>
      </c>
      <c r="BJ258" s="4318"/>
      <c r="BK258" s="4318"/>
      <c r="BL258" s="4319">
        <v>0</v>
      </c>
    </row>
    <row r="259" spans="1:64" s="5199" customFormat="1" ht="21" customHeight="1">
      <c r="A259" s="2197"/>
      <c r="B259" s="2197"/>
      <c r="C259" s="2197"/>
      <c r="D259" s="2197"/>
      <c r="E259" s="5470"/>
      <c r="F259" s="5470"/>
      <c r="G259" s="5470" t="s">
        <v>90</v>
      </c>
      <c r="H259" s="5470"/>
      <c r="I259" s="5471"/>
      <c r="J259" s="2197"/>
      <c r="K259" s="2197"/>
      <c r="L259" s="2198"/>
      <c r="M259" s="2208"/>
      <c r="N259" s="2208"/>
      <c r="O259" s="2208"/>
      <c r="P259" s="5473"/>
      <c r="Q259" s="2209"/>
      <c r="R259" s="2210"/>
      <c r="S259" s="4055"/>
      <c r="T259" s="4056" t="s">
        <v>505</v>
      </c>
      <c r="U259" s="4057"/>
      <c r="V259" s="4058"/>
      <c r="W259" s="4059"/>
      <c r="X259" s="4060"/>
      <c r="Y259" s="4061"/>
      <c r="Z259" s="4062"/>
      <c r="AA259" s="4063"/>
      <c r="AB259" s="4064"/>
      <c r="AC259" s="4065"/>
      <c r="AD259" s="4066"/>
      <c r="AE259" s="4067"/>
      <c r="AF259" s="4068"/>
      <c r="AG259" s="4069"/>
      <c r="AH259" s="4070"/>
      <c r="AI259" s="4071"/>
      <c r="AJ259" s="4072"/>
      <c r="AK259" s="4073"/>
      <c r="AL259" s="4074"/>
      <c r="AM259" s="4075"/>
      <c r="AN259" s="4076"/>
      <c r="AO259" s="4077"/>
      <c r="AP259" s="4078"/>
      <c r="AQ259" s="4079"/>
      <c r="AR259" s="4080"/>
      <c r="AS259" s="4081"/>
      <c r="AT259" s="4082"/>
      <c r="AU259" s="4083"/>
      <c r="AV259" s="4084"/>
      <c r="AW259" s="4085"/>
      <c r="AX259" s="4086"/>
      <c r="AY259" s="4087"/>
      <c r="AZ259" s="4088"/>
      <c r="BA259" s="4089"/>
      <c r="BB259" s="4090"/>
      <c r="BC259" s="4091"/>
      <c r="BD259" s="4092"/>
      <c r="BE259" s="4093"/>
      <c r="BF259" s="4094"/>
      <c r="BG259" s="2129"/>
      <c r="BH259" s="2207"/>
      <c r="BI259" s="2207" t="str">
        <f t="shared" si="4"/>
        <v>Добавить группу потребителей</v>
      </c>
      <c r="BJ259" s="2207"/>
      <c r="BK259" s="2207"/>
      <c r="BL259" s="2054">
        <v>0</v>
      </c>
    </row>
    <row r="260" spans="1:64" s="5200" customFormat="1" ht="21" customHeight="1">
      <c r="A260" s="2197"/>
      <c r="B260" s="2197"/>
      <c r="C260" s="2197"/>
      <c r="D260" s="2197"/>
      <c r="E260" s="5470"/>
      <c r="F260" s="5470"/>
      <c r="G260" s="5470" t="s">
        <v>90</v>
      </c>
      <c r="H260" s="5469"/>
      <c r="I260" s="2197"/>
      <c r="J260" s="2197"/>
      <c r="K260" s="2197"/>
      <c r="L260" s="2198"/>
      <c r="M260" s="2199"/>
      <c r="N260" s="2199"/>
      <c r="O260" s="2123"/>
      <c r="P260" s="2298"/>
      <c r="Q260" s="2299"/>
      <c r="R260" s="2300"/>
      <c r="S260" s="4095"/>
      <c r="T260" s="4096" t="s">
        <v>578</v>
      </c>
      <c r="U260" s="4097"/>
      <c r="V260" s="4098"/>
      <c r="W260" s="4099"/>
      <c r="X260" s="4100"/>
      <c r="Y260" s="4101"/>
      <c r="Z260" s="4102"/>
      <c r="AA260" s="4103"/>
      <c r="AB260" s="4104"/>
      <c r="AC260" s="4105"/>
      <c r="AD260" s="4106"/>
      <c r="AE260" s="4107"/>
      <c r="AF260" s="4108"/>
      <c r="AG260" s="4109"/>
      <c r="AH260" s="4110"/>
      <c r="AI260" s="4111"/>
      <c r="AJ260" s="4112"/>
      <c r="AK260" s="4113"/>
      <c r="AL260" s="4114"/>
      <c r="AM260" s="4115"/>
      <c r="AN260" s="4116"/>
      <c r="AO260" s="4117"/>
      <c r="AP260" s="4118"/>
      <c r="AQ260" s="4119"/>
      <c r="AR260" s="4120"/>
      <c r="AS260" s="4121"/>
      <c r="AT260" s="4122"/>
      <c r="AU260" s="4123"/>
      <c r="AV260" s="4124"/>
      <c r="AW260" s="4125"/>
      <c r="AX260" s="4126"/>
      <c r="AY260" s="4127"/>
      <c r="AZ260" s="4128"/>
      <c r="BA260" s="4129"/>
      <c r="BB260" s="4130"/>
      <c r="BC260" s="4131"/>
      <c r="BD260" s="4132"/>
      <c r="BE260" s="4133"/>
      <c r="BF260" s="4134"/>
      <c r="BG260" s="2129"/>
      <c r="BH260" s="2207"/>
      <c r="BI260" s="2207" t="str">
        <f t="shared" si="4"/>
        <v>Добавить наименование признака дифференциации</v>
      </c>
      <c r="BJ260" s="2207"/>
      <c r="BK260" s="2207"/>
      <c r="BL260" s="2054">
        <v>0</v>
      </c>
    </row>
    <row r="261" spans="1:64" s="5201" customFormat="1" ht="14.25" customHeight="1">
      <c r="A261" s="2938"/>
      <c r="B261" s="2938"/>
      <c r="C261" s="2938"/>
      <c r="D261" s="2938"/>
      <c r="E261" s="5470"/>
      <c r="F261" s="5469" t="s">
        <v>93</v>
      </c>
      <c r="G261" s="2938"/>
      <c r="H261" s="2938"/>
      <c r="I261" s="2938"/>
      <c r="J261" s="2938"/>
      <c r="K261" s="2938"/>
      <c r="L261" s="2939"/>
      <c r="M261" s="2940"/>
      <c r="N261" s="2940"/>
      <c r="O261" s="2129"/>
      <c r="P261" s="2941"/>
      <c r="Q261" s="2942"/>
      <c r="R261" s="2941"/>
      <c r="S261" s="2943"/>
      <c r="T261" s="2944" t="s">
        <v>312</v>
      </c>
      <c r="U261" s="2122"/>
      <c r="V261" s="2122"/>
      <c r="W261" s="2122"/>
      <c r="X261" s="2122"/>
      <c r="Y261" s="2122"/>
      <c r="Z261" s="2122"/>
      <c r="AA261" s="2122"/>
      <c r="AB261" s="2122"/>
      <c r="AC261" s="2122"/>
      <c r="AD261" s="2122"/>
      <c r="AE261" s="2122"/>
      <c r="AF261" s="2122"/>
      <c r="AG261" s="2122"/>
      <c r="AH261" s="2122"/>
      <c r="AI261" s="2122"/>
      <c r="AJ261" s="2122"/>
      <c r="AK261" s="2122"/>
      <c r="AL261" s="2122"/>
      <c r="AM261" s="2122"/>
      <c r="AN261" s="2122"/>
      <c r="AO261" s="2122"/>
      <c r="AP261" s="2122"/>
      <c r="AQ261" s="2122"/>
      <c r="AR261" s="2122"/>
      <c r="AS261" s="2122"/>
      <c r="AT261" s="2122"/>
      <c r="AU261" s="2122"/>
      <c r="AV261" s="2122"/>
      <c r="AW261" s="2122"/>
      <c r="AX261" s="2122"/>
      <c r="AY261" s="2122"/>
      <c r="AZ261" s="2122"/>
      <c r="BA261" s="2122"/>
      <c r="BB261" s="2122"/>
      <c r="BC261" s="2122"/>
      <c r="BD261" s="2122"/>
      <c r="BE261" s="2122"/>
      <c r="BF261" s="2122"/>
      <c r="BG261" s="2129"/>
      <c r="BH261" s="2207"/>
      <c r="BI261" s="2207" t="str">
        <f t="shared" si="4"/>
        <v>Добавить централизованную систему для дифференциации</v>
      </c>
      <c r="BJ261" s="2207"/>
      <c r="BK261" s="2207"/>
      <c r="BL261" s="2129">
        <v>0</v>
      </c>
    </row>
    <row r="262" spans="1:64" s="5202" customFormat="1" ht="23.25" customHeight="1">
      <c r="A262" s="2197"/>
      <c r="B262" s="2197" t="s">
        <v>357</v>
      </c>
      <c r="C262" s="2197"/>
      <c r="D262" s="2197"/>
      <c r="E262" s="5470"/>
      <c r="F262" s="5469" t="s">
        <v>134</v>
      </c>
      <c r="G262" s="2197"/>
      <c r="H262" s="2197"/>
      <c r="I262" s="2197"/>
      <c r="J262" s="2197"/>
      <c r="K262" s="2197"/>
      <c r="L262" s="2198"/>
      <c r="M262" s="2199"/>
      <c r="N262" s="2199"/>
      <c r="O262" s="2199"/>
      <c r="P262" s="2698"/>
      <c r="Q262" s="2201"/>
      <c r="R262" s="2202"/>
      <c r="S262" s="2203" t="str">
        <f>INDEX(PT_DIFFERENTIATION_NUM_TER,MATCH(B262,PT_DIFFERENTIATION_TER_ID,0))</f>
        <v>1.9</v>
      </c>
      <c r="T262" s="2699" t="s">
        <v>490</v>
      </c>
      <c r="U262" s="2205"/>
      <c r="V262" s="5463"/>
      <c r="W262" s="5464"/>
      <c r="X262" s="5464"/>
      <c r="Y262" s="5464"/>
      <c r="Z262" s="5464"/>
      <c r="AA262" s="5464"/>
      <c r="AB262" s="5465"/>
      <c r="AC262" s="5463" t="str">
        <f>INDEX(PT_DIFFERENTIATION_TER,MATCH(B262,PT_DIFFERENTIATION_TER_ID,0))</f>
        <v>Территория 9</v>
      </c>
      <c r="AD262" s="5464"/>
      <c r="AE262" s="5464"/>
      <c r="AF262" s="5464"/>
      <c r="AG262" s="5464"/>
      <c r="AH262" s="5464"/>
      <c r="AI262" s="5464"/>
      <c r="AJ262" s="5463"/>
      <c r="AK262" s="5464"/>
      <c r="AL262" s="5464"/>
      <c r="AM262" s="5464"/>
      <c r="AN262" s="5464"/>
      <c r="AO262" s="5464"/>
      <c r="AP262" s="5465"/>
      <c r="AQ262" s="5463"/>
      <c r="AR262" s="5464"/>
      <c r="AS262" s="5464"/>
      <c r="AT262" s="5464"/>
      <c r="AU262" s="5464"/>
      <c r="AV262" s="5464"/>
      <c r="AW262" s="5465"/>
      <c r="AX262" s="5463"/>
      <c r="AY262" s="5464"/>
      <c r="AZ262" s="5464"/>
      <c r="BA262" s="5464"/>
      <c r="BB262" s="5464"/>
      <c r="BC262" s="5464"/>
      <c r="BD262" s="5465"/>
      <c r="BE262" s="5465"/>
      <c r="BF262" s="2206" t="s">
        <v>491</v>
      </c>
      <c r="BG262" s="2129"/>
      <c r="BH262" s="2207"/>
      <c r="BI262" s="2207" t="str">
        <f t="shared" si="4"/>
        <v>Территория действия тарифа</v>
      </c>
      <c r="BJ262" s="2207"/>
      <c r="BK262" s="2207"/>
      <c r="BL262" s="2054">
        <v>0</v>
      </c>
    </row>
    <row r="263" spans="1:64" s="5203" customFormat="1" ht="23.25" customHeight="1">
      <c r="A263" s="2197"/>
      <c r="B263" s="2197"/>
      <c r="C263" s="2197" t="s">
        <v>358</v>
      </c>
      <c r="D263" s="2197"/>
      <c r="E263" s="5470"/>
      <c r="F263" s="5470" t="s">
        <v>129</v>
      </c>
      <c r="G263" s="5469">
        <v>1</v>
      </c>
      <c r="H263" s="2197"/>
      <c r="I263" s="2197"/>
      <c r="J263" s="2197"/>
      <c r="K263" s="2197"/>
      <c r="L263" s="2198"/>
      <c r="M263" s="2199"/>
      <c r="N263" s="2199"/>
      <c r="O263" s="2199"/>
      <c r="P263" s="2200"/>
      <c r="Q263" s="2201"/>
      <c r="R263" s="2202"/>
      <c r="S263" s="2203" t="str">
        <f>INDEX(PT_DIFFERENTIATION_NUM_CS,MATCH(C263,PT_DIFFERENTIATION_CS_ID,0))</f>
        <v>1.9.1</v>
      </c>
      <c r="T263" s="2204" t="s">
        <v>606</v>
      </c>
      <c r="U263" s="2205"/>
      <c r="V263" s="5463"/>
      <c r="W263" s="5464"/>
      <c r="X263" s="5464"/>
      <c r="Y263" s="5464"/>
      <c r="Z263" s="5464"/>
      <c r="AA263" s="5464"/>
      <c r="AB263" s="5465"/>
      <c r="AC263" s="5463" t="str">
        <f>INDEX(PT_DIFFERENTIATION_CS,MATCH(C263,PT_DIFFERENTIATION_CS_ID,0))</f>
        <v>с. Анучино</v>
      </c>
      <c r="AD263" s="5464"/>
      <c r="AE263" s="5464"/>
      <c r="AF263" s="5464"/>
      <c r="AG263" s="5464"/>
      <c r="AH263" s="5464"/>
      <c r="AI263" s="5464"/>
      <c r="AJ263" s="5463"/>
      <c r="AK263" s="5464"/>
      <c r="AL263" s="5464"/>
      <c r="AM263" s="5464"/>
      <c r="AN263" s="5464"/>
      <c r="AO263" s="5464"/>
      <c r="AP263" s="5465"/>
      <c r="AQ263" s="5463"/>
      <c r="AR263" s="5464"/>
      <c r="AS263" s="5464"/>
      <c r="AT263" s="5464"/>
      <c r="AU263" s="5464"/>
      <c r="AV263" s="5464"/>
      <c r="AW263" s="5465"/>
      <c r="AX263" s="5463"/>
      <c r="AY263" s="5464"/>
      <c r="AZ263" s="5464"/>
      <c r="BA263" s="5464"/>
      <c r="BB263" s="5464"/>
      <c r="BC263" s="5464"/>
      <c r="BD263" s="5465"/>
      <c r="BE263" s="5465"/>
      <c r="BF263" s="2206" t="s">
        <v>607</v>
      </c>
      <c r="BG263" s="2129"/>
      <c r="BH263" s="2207"/>
      <c r="BI263" s="2207" t="str">
        <f t="shared" si="4"/>
        <v>Наименование централизованной системы водоотведения</v>
      </c>
      <c r="BJ263" s="2207"/>
      <c r="BK263" s="2207"/>
      <c r="BL263" s="2054">
        <v>0</v>
      </c>
    </row>
    <row r="264" spans="1:64" s="5204" customFormat="1" ht="23.25" customHeight="1">
      <c r="A264" s="2197"/>
      <c r="B264" s="2197"/>
      <c r="C264" s="2197"/>
      <c r="D264" s="2197"/>
      <c r="E264" s="5470"/>
      <c r="F264" s="5470" t="s">
        <v>129</v>
      </c>
      <c r="G264" s="5470"/>
      <c r="H264" s="5470"/>
      <c r="I264" s="5471" t="str">
        <f>S263&amp;".1"</f>
        <v>1.9.1.1</v>
      </c>
      <c r="J264" s="2197"/>
      <c r="K264" s="2197"/>
      <c r="L264" s="2198"/>
      <c r="M264" s="2208"/>
      <c r="N264" s="2208"/>
      <c r="O264" s="2208"/>
      <c r="P264" s="5473">
        <v>1</v>
      </c>
      <c r="Q264" s="2209"/>
      <c r="R264" s="2210"/>
      <c r="S264" s="2203" t="str">
        <f>$I264</f>
        <v>1.9.1.1</v>
      </c>
      <c r="T264" s="2211" t="s">
        <v>573</v>
      </c>
      <c r="U264" s="2205"/>
      <c r="V264" s="5537"/>
      <c r="W264" s="5538"/>
      <c r="X264" s="5538"/>
      <c r="Y264" s="5538"/>
      <c r="Z264" s="5538"/>
      <c r="AA264" s="5538"/>
      <c r="AB264" s="5539"/>
      <c r="AC264" s="5540"/>
      <c r="AD264" s="5541"/>
      <c r="AE264" s="5541"/>
      <c r="AF264" s="5541"/>
      <c r="AG264" s="5541"/>
      <c r="AH264" s="5541"/>
      <c r="AI264" s="5541"/>
      <c r="AJ264" s="5537"/>
      <c r="AK264" s="5538"/>
      <c r="AL264" s="5538"/>
      <c r="AM264" s="5538"/>
      <c r="AN264" s="5538"/>
      <c r="AO264" s="5538"/>
      <c r="AP264" s="5539"/>
      <c r="AQ264" s="5537"/>
      <c r="AR264" s="5538"/>
      <c r="AS264" s="5538"/>
      <c r="AT264" s="5538"/>
      <c r="AU264" s="5538"/>
      <c r="AV264" s="5538"/>
      <c r="AW264" s="5539"/>
      <c r="AX264" s="5537"/>
      <c r="AY264" s="5538"/>
      <c r="AZ264" s="5538"/>
      <c r="BA264" s="5538"/>
      <c r="BB264" s="5538"/>
      <c r="BC264" s="5538"/>
      <c r="BD264" s="5539"/>
      <c r="BE264" s="5542"/>
      <c r="BF264" s="2206" t="s">
        <v>574</v>
      </c>
      <c r="BG264" s="2129"/>
      <c r="BH264" s="2207"/>
      <c r="BI264" s="2207" t="str">
        <f t="shared" si="4"/>
        <v>Наименование признака дифференциации</v>
      </c>
      <c r="BJ264" s="2207"/>
      <c r="BK264" s="2207"/>
      <c r="BL264" s="2054">
        <v>0</v>
      </c>
    </row>
    <row r="265" spans="1:64" s="5205" customFormat="1" ht="23.25" customHeight="1">
      <c r="A265" s="2197"/>
      <c r="B265" s="2197"/>
      <c r="C265" s="2197"/>
      <c r="D265" s="2197"/>
      <c r="E265" s="5470"/>
      <c r="F265" s="5470" t="s">
        <v>129</v>
      </c>
      <c r="G265" s="5470"/>
      <c r="H265" s="5470"/>
      <c r="I265" s="5472"/>
      <c r="J265" s="5471" t="str">
        <f>I264&amp;".1"</f>
        <v>1.9.1.1.1</v>
      </c>
      <c r="K265" s="2197"/>
      <c r="L265" s="2198" t="s">
        <v>499</v>
      </c>
      <c r="M265" s="2208"/>
      <c r="N265" s="2208"/>
      <c r="O265" s="2208"/>
      <c r="P265" s="5473"/>
      <c r="Q265" s="5473">
        <v>1</v>
      </c>
      <c r="R265" s="2212"/>
      <c r="S265" s="2203" t="str">
        <f>$J265</f>
        <v>1.9.1.1.1</v>
      </c>
      <c r="T265" s="2213" t="s">
        <v>500</v>
      </c>
      <c r="U265" s="2205"/>
      <c r="V265" s="5457"/>
      <c r="W265" s="5458"/>
      <c r="X265" s="5458"/>
      <c r="Y265" s="5458"/>
      <c r="Z265" s="5458"/>
      <c r="AA265" s="5458"/>
      <c r="AB265" s="5459"/>
      <c r="AC265" s="5457" t="s">
        <v>611</v>
      </c>
      <c r="AD265" s="5458"/>
      <c r="AE265" s="5458"/>
      <c r="AF265" s="5458"/>
      <c r="AG265" s="5458"/>
      <c r="AH265" s="5458"/>
      <c r="AI265" s="5458"/>
      <c r="AJ265" s="5457"/>
      <c r="AK265" s="5458"/>
      <c r="AL265" s="5458"/>
      <c r="AM265" s="5458"/>
      <c r="AN265" s="5458"/>
      <c r="AO265" s="5458"/>
      <c r="AP265" s="5459"/>
      <c r="AQ265" s="5457"/>
      <c r="AR265" s="5458"/>
      <c r="AS265" s="5458"/>
      <c r="AT265" s="5458"/>
      <c r="AU265" s="5458"/>
      <c r="AV265" s="5458"/>
      <c r="AW265" s="5459"/>
      <c r="AX265" s="5457"/>
      <c r="AY265" s="5458"/>
      <c r="AZ265" s="5458"/>
      <c r="BA265" s="5458"/>
      <c r="BB265" s="5458"/>
      <c r="BC265" s="5458"/>
      <c r="BD265" s="5459"/>
      <c r="BE265" s="5459"/>
      <c r="BF265" s="2214" t="s">
        <v>575</v>
      </c>
      <c r="BG265" s="2129"/>
      <c r="BH265" s="2207"/>
      <c r="BI265" s="2207" t="str">
        <f t="shared" si="4"/>
        <v>Группа потребителей</v>
      </c>
      <c r="BJ265" s="2207"/>
      <c r="BK265" s="2207"/>
      <c r="BL265" s="2054">
        <v>0</v>
      </c>
    </row>
    <row r="266" spans="1:64" s="5206" customFormat="1" ht="23.25" customHeight="1">
      <c r="A266" s="2197"/>
      <c r="B266" s="2197"/>
      <c r="C266" s="2197"/>
      <c r="D266" s="2197"/>
      <c r="E266" s="5470"/>
      <c r="F266" s="5470" t="s">
        <v>129</v>
      </c>
      <c r="G266" s="5470"/>
      <c r="H266" s="5470"/>
      <c r="I266" s="5472"/>
      <c r="J266" s="5472"/>
      <c r="K266" s="5471" t="str">
        <f>J265&amp;".1"</f>
        <v>1.9.1.1.1.1</v>
      </c>
      <c r="L266" s="2198"/>
      <c r="M266" s="2208"/>
      <c r="N266" s="2208"/>
      <c r="O266" s="2208"/>
      <c r="P266" s="5473"/>
      <c r="Q266" s="5473"/>
      <c r="R266" s="2212">
        <v>1</v>
      </c>
      <c r="S266" s="2203" t="str">
        <f>$K266</f>
        <v>1.9.1.1.1.1</v>
      </c>
      <c r="T266" s="2215" t="s">
        <v>569</v>
      </c>
      <c r="U266" s="2205"/>
      <c r="V266" s="2055"/>
      <c r="W266" s="2055"/>
      <c r="X266" s="2056"/>
      <c r="Y266" s="5474"/>
      <c r="Z266" s="5338" t="s">
        <v>66</v>
      </c>
      <c r="AA266" s="5474"/>
      <c r="AB266" s="5338" t="s">
        <v>66</v>
      </c>
      <c r="AC266" s="2055">
        <v>174.98</v>
      </c>
      <c r="AD266" s="2055"/>
      <c r="AE266" s="2056"/>
      <c r="AF266" s="5474">
        <v>45658.616886574076</v>
      </c>
      <c r="AG266" s="5338" t="s">
        <v>66</v>
      </c>
      <c r="AH266" s="5476">
        <v>46022.617037037038</v>
      </c>
      <c r="AI266" s="5338" t="s">
        <v>66</v>
      </c>
      <c r="AJ266" s="2055">
        <v>179.98</v>
      </c>
      <c r="AK266" s="2055"/>
      <c r="AL266" s="2056"/>
      <c r="AM266" s="5474">
        <v>46023.617268518516</v>
      </c>
      <c r="AN266" s="5338" t="s">
        <v>66</v>
      </c>
      <c r="AO266" s="5474">
        <v>46387.617372685185</v>
      </c>
      <c r="AP266" s="5338" t="s">
        <v>66</v>
      </c>
      <c r="AQ266" s="2055">
        <v>185.3</v>
      </c>
      <c r="AR266" s="2055"/>
      <c r="AS266" s="2056"/>
      <c r="AT266" s="5474">
        <v>46388.617488425924</v>
      </c>
      <c r="AU266" s="5338" t="s">
        <v>66</v>
      </c>
      <c r="AV266" s="5474">
        <v>46752.617615740739</v>
      </c>
      <c r="AW266" s="5338" t="s">
        <v>66</v>
      </c>
      <c r="AX266" s="2055">
        <v>190.77</v>
      </c>
      <c r="AY266" s="2055"/>
      <c r="AZ266" s="2056"/>
      <c r="BA266" s="5474">
        <v>46753.622187499997</v>
      </c>
      <c r="BB266" s="5338" t="s">
        <v>66</v>
      </c>
      <c r="BC266" s="5474">
        <v>47118.622291666667</v>
      </c>
      <c r="BD266" s="5338" t="s">
        <v>66</v>
      </c>
      <c r="BE266" s="2216"/>
      <c r="BF26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66" s="2129" t="e">
        <f ca="1">STRCHECKDATE(V267:BE267)</f>
        <v>#NAME?</v>
      </c>
      <c r="BH266" s="2207"/>
      <c r="BI266" s="2207" t="str">
        <f t="shared" si="4"/>
        <v>без НДС</v>
      </c>
      <c r="BJ266" s="2207"/>
      <c r="BK266" s="2207"/>
      <c r="BL266" s="2054">
        <v>0</v>
      </c>
    </row>
    <row r="267" spans="1:64" s="5207" customFormat="1" ht="14.25" customHeight="1">
      <c r="A267" s="2197"/>
      <c r="B267" s="2197"/>
      <c r="C267" s="2197"/>
      <c r="D267" s="2197"/>
      <c r="E267" s="5470"/>
      <c r="F267" s="5470" t="s">
        <v>129</v>
      </c>
      <c r="G267" s="5470"/>
      <c r="H267" s="5470"/>
      <c r="I267" s="5472"/>
      <c r="J267" s="5472"/>
      <c r="K267" s="5471"/>
      <c r="L267" s="2198"/>
      <c r="M267" s="2208"/>
      <c r="N267" s="2208"/>
      <c r="O267" s="2208"/>
      <c r="P267" s="5473"/>
      <c r="Q267" s="5473"/>
      <c r="R267" s="2212"/>
      <c r="S267" s="2217"/>
      <c r="T267" s="2205"/>
      <c r="U267" s="2205"/>
      <c r="V267" s="2057"/>
      <c r="W267" s="2057"/>
      <c r="X267" s="2058" t="str">
        <f>Y266&amp;"-"&amp;AA266</f>
        <v>-</v>
      </c>
      <c r="Y267" s="5475"/>
      <c r="Z267" s="5338"/>
      <c r="AA267" s="5475"/>
      <c r="AB267" s="5338"/>
      <c r="AC267" s="2057"/>
      <c r="AD267" s="2057"/>
      <c r="AE267" s="2058" t="str">
        <f>AF266&amp;"-"&amp;AH266</f>
        <v>45658,616886574-46022,617037037</v>
      </c>
      <c r="AF267" s="5475"/>
      <c r="AG267" s="5338"/>
      <c r="AH267" s="5477"/>
      <c r="AI267" s="5338"/>
      <c r="AJ267" s="2057"/>
      <c r="AK267" s="2057"/>
      <c r="AL267" s="2058" t="str">
        <f>AM266&amp;"-"&amp;AO266</f>
        <v>46023,6172685185-46387,6173726852</v>
      </c>
      <c r="AM267" s="5475"/>
      <c r="AN267" s="5338"/>
      <c r="AO267" s="5475"/>
      <c r="AP267" s="5338"/>
      <c r="AQ267" s="2057"/>
      <c r="AR267" s="2057"/>
      <c r="AS267" s="2058" t="str">
        <f>AT266&amp;"-"&amp;AV266</f>
        <v>46388,6174884259-46752,6176157407</v>
      </c>
      <c r="AT267" s="5475"/>
      <c r="AU267" s="5338"/>
      <c r="AV267" s="5475"/>
      <c r="AW267" s="5338"/>
      <c r="AX267" s="2057"/>
      <c r="AY267" s="2057"/>
      <c r="AZ267" s="2058" t="str">
        <f>BA266&amp;"-"&amp;BC266</f>
        <v>46753,6221875-47118,6222916667</v>
      </c>
      <c r="BA267" s="5475"/>
      <c r="BB267" s="5338"/>
      <c r="BC267" s="5475"/>
      <c r="BD267" s="5338"/>
      <c r="BE267" s="2218"/>
      <c r="BF267" s="5543"/>
      <c r="BG267" s="2129"/>
      <c r="BH267" s="2207"/>
      <c r="BI267" s="2207" t="str">
        <f t="shared" si="4"/>
        <v/>
      </c>
      <c r="BJ267" s="2207"/>
      <c r="BK267" s="2207"/>
      <c r="BL267" s="2054">
        <v>0</v>
      </c>
    </row>
    <row r="268" spans="1:64" s="5208" customFormat="1" ht="21" customHeight="1">
      <c r="A268" s="2197"/>
      <c r="B268" s="2197"/>
      <c r="C268" s="2197"/>
      <c r="D268" s="2197"/>
      <c r="E268" s="5470"/>
      <c r="F268" s="5470" t="s">
        <v>129</v>
      </c>
      <c r="G268" s="5470"/>
      <c r="H268" s="5470"/>
      <c r="I268" s="5472"/>
      <c r="J268" s="5471"/>
      <c r="K268" s="2197"/>
      <c r="L268" s="2198"/>
      <c r="M268" s="2208"/>
      <c r="N268" s="2208"/>
      <c r="O268" s="2208"/>
      <c r="P268" s="5473"/>
      <c r="Q268" s="5473"/>
      <c r="R268" s="2210"/>
      <c r="S268" s="4135"/>
      <c r="T268" s="4136" t="s">
        <v>576</v>
      </c>
      <c r="U268" s="4137"/>
      <c r="V268" s="4138"/>
      <c r="W268" s="4139"/>
      <c r="X268" s="4140"/>
      <c r="Y268" s="4141"/>
      <c r="Z268" s="4142"/>
      <c r="AA268" s="4143"/>
      <c r="AB268" s="4144"/>
      <c r="AC268" s="4145"/>
      <c r="AD268" s="4146"/>
      <c r="AE268" s="4147"/>
      <c r="AF268" s="4148"/>
      <c r="AG268" s="4149"/>
      <c r="AH268" s="4150"/>
      <c r="AI268" s="4151"/>
      <c r="AJ268" s="4152"/>
      <c r="AK268" s="4153"/>
      <c r="AL268" s="4154"/>
      <c r="AM268" s="4155"/>
      <c r="AN268" s="4156"/>
      <c r="AO268" s="4157"/>
      <c r="AP268" s="4158"/>
      <c r="AQ268" s="4159"/>
      <c r="AR268" s="4160"/>
      <c r="AS268" s="4161"/>
      <c r="AT268" s="4162"/>
      <c r="AU268" s="4163"/>
      <c r="AV268" s="4164"/>
      <c r="AW268" s="4165"/>
      <c r="AX268" s="4166"/>
      <c r="AY268" s="4167"/>
      <c r="AZ268" s="4168"/>
      <c r="BA268" s="4169"/>
      <c r="BB268" s="4170"/>
      <c r="BC268" s="4171"/>
      <c r="BD268" s="4172"/>
      <c r="BE268" s="4173"/>
      <c r="BF268" s="2206" t="s">
        <v>577</v>
      </c>
      <c r="BG268" s="2129"/>
      <c r="BH268" s="2207"/>
      <c r="BI268" s="2207" t="str">
        <f t="shared" si="4"/>
        <v>Добавить значение признака дифференциации</v>
      </c>
      <c r="BJ268" s="2207"/>
      <c r="BK268" s="2207"/>
      <c r="BL268" s="2054">
        <v>0</v>
      </c>
    </row>
    <row r="269" spans="1:64" s="5209" customFormat="1" ht="23.25" customHeight="1">
      <c r="A269" s="4309"/>
      <c r="B269" s="4309"/>
      <c r="C269" s="4309"/>
      <c r="D269" s="4309"/>
      <c r="E269" s="5470"/>
      <c r="F269" s="5470"/>
      <c r="G269" s="5470"/>
      <c r="H269" s="5470"/>
      <c r="I269" s="5472"/>
      <c r="J269" s="5471" t="str">
        <f>I264&amp;".2"</f>
        <v>1.9.1.1.2</v>
      </c>
      <c r="K269" s="4309"/>
      <c r="L269" s="4310" t="s">
        <v>499</v>
      </c>
      <c r="M269" s="4311"/>
      <c r="N269" s="4311"/>
      <c r="O269" s="4311"/>
      <c r="P269" s="5473"/>
      <c r="Q269" s="5553" t="s">
        <v>104</v>
      </c>
      <c r="R269" s="4312"/>
      <c r="S269" s="4313" t="str">
        <f>$J269</f>
        <v>1.9.1.1.2</v>
      </c>
      <c r="T269" s="4314" t="s">
        <v>500</v>
      </c>
      <c r="U269" s="4315"/>
      <c r="V269" s="5457"/>
      <c r="W269" s="5458"/>
      <c r="X269" s="5458"/>
      <c r="Y269" s="5458"/>
      <c r="Z269" s="5458"/>
      <c r="AA269" s="5458"/>
      <c r="AB269" s="5459"/>
      <c r="AC269" s="5457" t="s">
        <v>612</v>
      </c>
      <c r="AD269" s="5458"/>
      <c r="AE269" s="5458"/>
      <c r="AF269" s="5458"/>
      <c r="AG269" s="5458"/>
      <c r="AH269" s="5458"/>
      <c r="AI269" s="5458"/>
      <c r="AJ269" s="5457"/>
      <c r="AK269" s="5458"/>
      <c r="AL269" s="5458"/>
      <c r="AM269" s="5458"/>
      <c r="AN269" s="5458"/>
      <c r="AO269" s="5458"/>
      <c r="AP269" s="5459"/>
      <c r="AQ269" s="5457"/>
      <c r="AR269" s="5458"/>
      <c r="AS269" s="5458"/>
      <c r="AT269" s="5458"/>
      <c r="AU269" s="5458"/>
      <c r="AV269" s="5458"/>
      <c r="AW269" s="5459"/>
      <c r="AX269" s="5457"/>
      <c r="AY269" s="5458"/>
      <c r="AZ269" s="5458"/>
      <c r="BA269" s="5458"/>
      <c r="BB269" s="5458"/>
      <c r="BC269" s="5458"/>
      <c r="BD269" s="5554"/>
      <c r="BE269" s="5459"/>
      <c r="BF269" s="4316" t="s">
        <v>575</v>
      </c>
      <c r="BG269" s="4317"/>
      <c r="BH269" s="4318"/>
      <c r="BI269" s="4318" t="str">
        <f t="shared" si="4"/>
        <v>Группа потребителей</v>
      </c>
      <c r="BJ269" s="4318"/>
      <c r="BK269" s="4318"/>
      <c r="BL269" s="4319">
        <v>0</v>
      </c>
    </row>
    <row r="270" spans="1:64" s="5210" customFormat="1" ht="23.25" customHeight="1">
      <c r="A270" s="4309"/>
      <c r="B270" s="4309"/>
      <c r="C270" s="4309"/>
      <c r="D270" s="4309"/>
      <c r="E270" s="5470"/>
      <c r="F270" s="5470"/>
      <c r="G270" s="5470"/>
      <c r="H270" s="5470"/>
      <c r="I270" s="5472"/>
      <c r="J270" s="5472" t="str">
        <f>I264&amp;".1"</f>
        <v>1.9.1.1.1</v>
      </c>
      <c r="K270" s="5471" t="str">
        <f>J269&amp;".1"</f>
        <v>1.9.1.1.2.1</v>
      </c>
      <c r="L270" s="4310"/>
      <c r="M270" s="4311"/>
      <c r="N270" s="4311"/>
      <c r="O270" s="4311"/>
      <c r="P270" s="5473"/>
      <c r="Q270" s="5473"/>
      <c r="R270" s="4312">
        <v>1</v>
      </c>
      <c r="S270" s="4313" t="str">
        <f>$K270</f>
        <v>1.9.1.1.2.1</v>
      </c>
      <c r="T270" s="4321"/>
      <c r="U270" s="4315"/>
      <c r="V270" s="4322"/>
      <c r="W270" s="4322"/>
      <c r="X270" s="4323"/>
      <c r="Y270" s="5474"/>
      <c r="Z270" s="5338" t="s">
        <v>66</v>
      </c>
      <c r="AA270" s="5474"/>
      <c r="AB270" s="5338" t="s">
        <v>66</v>
      </c>
      <c r="AC270" s="4322">
        <v>209.98</v>
      </c>
      <c r="AD270" s="4322"/>
      <c r="AE270" s="4323"/>
      <c r="AF270" s="5474">
        <v>45658.705138888887</v>
      </c>
      <c r="AG270" s="5338" t="s">
        <v>66</v>
      </c>
      <c r="AH270" s="5476">
        <v>46022.70517361111</v>
      </c>
      <c r="AI270" s="5338" t="s">
        <v>66</v>
      </c>
      <c r="AJ270" s="4322">
        <v>215.98</v>
      </c>
      <c r="AK270" s="4322"/>
      <c r="AL270" s="4323"/>
      <c r="AM270" s="5474">
        <v>46023.705509259256</v>
      </c>
      <c r="AN270" s="5338" t="s">
        <v>66</v>
      </c>
      <c r="AO270" s="5474">
        <v>46387.705671296295</v>
      </c>
      <c r="AP270" s="5338" t="s">
        <v>66</v>
      </c>
      <c r="AQ270" s="4322">
        <v>222.36</v>
      </c>
      <c r="AR270" s="4322"/>
      <c r="AS270" s="4323"/>
      <c r="AT270" s="5474">
        <v>46388.705960648149</v>
      </c>
      <c r="AU270" s="5338" t="s">
        <v>66</v>
      </c>
      <c r="AV270" s="5474">
        <v>46752.706030092595</v>
      </c>
      <c r="AW270" s="5338" t="s">
        <v>66</v>
      </c>
      <c r="AX270" s="4322">
        <v>228.92</v>
      </c>
      <c r="AY270" s="4322"/>
      <c r="AZ270" s="4323"/>
      <c r="BA270" s="5474">
        <v>46753.706493055557</v>
      </c>
      <c r="BB270" s="5338" t="s">
        <v>66</v>
      </c>
      <c r="BC270" s="5474">
        <v>47118.706597222219</v>
      </c>
      <c r="BD270" s="5555" t="s">
        <v>66</v>
      </c>
      <c r="BE270" s="4324"/>
      <c r="BF270"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270" s="4317" t="e">
        <f ca="1">STRCHECKDATE(V271:BE271)</f>
        <v>#NAME?</v>
      </c>
      <c r="BH270" s="4318"/>
      <c r="BI270" s="4318" t="str">
        <f t="shared" si="4"/>
        <v/>
      </c>
      <c r="BJ270" s="4318"/>
      <c r="BK270" s="4318"/>
      <c r="BL270" s="4319">
        <v>0</v>
      </c>
    </row>
    <row r="271" spans="1:64" s="5211" customFormat="1" ht="14.25" customHeight="1">
      <c r="A271" s="4309"/>
      <c r="B271" s="4309"/>
      <c r="C271" s="4309"/>
      <c r="D271" s="4309"/>
      <c r="E271" s="5470"/>
      <c r="F271" s="5470"/>
      <c r="G271" s="5470"/>
      <c r="H271" s="5470"/>
      <c r="I271" s="5472"/>
      <c r="J271" s="5472" t="str">
        <f>I264&amp;".1"</f>
        <v>1.9.1.1.1</v>
      </c>
      <c r="K271" s="5471"/>
      <c r="L271" s="4310"/>
      <c r="M271" s="4311"/>
      <c r="N271" s="4311"/>
      <c r="O271" s="4311"/>
      <c r="P271" s="5473"/>
      <c r="Q271" s="5473"/>
      <c r="R271" s="4312"/>
      <c r="S271" s="4326"/>
      <c r="T271" s="4315"/>
      <c r="U271" s="4315"/>
      <c r="V271" s="4327"/>
      <c r="W271" s="4327"/>
      <c r="X271" s="4328" t="str">
        <f>Y270&amp;"-"&amp;AA270</f>
        <v>-</v>
      </c>
      <c r="Y271" s="5475"/>
      <c r="Z271" s="5338"/>
      <c r="AA271" s="5475"/>
      <c r="AB271" s="5338"/>
      <c r="AC271" s="4327"/>
      <c r="AD271" s="4327"/>
      <c r="AE271" s="4328" t="str">
        <f>AF270&amp;"-"&amp;AH270</f>
        <v>45658,7051388889-46022,7051736111</v>
      </c>
      <c r="AF271" s="5475"/>
      <c r="AG271" s="5338"/>
      <c r="AH271" s="5477"/>
      <c r="AI271" s="5338"/>
      <c r="AJ271" s="4327"/>
      <c r="AK271" s="4327"/>
      <c r="AL271" s="4328" t="str">
        <f>AM270&amp;"-"&amp;AO270</f>
        <v>46023,7055092593-46387,7056712963</v>
      </c>
      <c r="AM271" s="5475"/>
      <c r="AN271" s="5338"/>
      <c r="AO271" s="5475"/>
      <c r="AP271" s="5338"/>
      <c r="AQ271" s="4327"/>
      <c r="AR271" s="4327"/>
      <c r="AS271" s="4328" t="str">
        <f>AT270&amp;"-"&amp;AV270</f>
        <v>46388,7059606481-46752,7060300926</v>
      </c>
      <c r="AT271" s="5475"/>
      <c r="AU271" s="5338"/>
      <c r="AV271" s="5475"/>
      <c r="AW271" s="5338"/>
      <c r="AX271" s="4327"/>
      <c r="AY271" s="4327"/>
      <c r="AZ271" s="4328" t="str">
        <f>BA270&amp;"-"&amp;BC270</f>
        <v>46753,7064930556-47118,7065972222</v>
      </c>
      <c r="BA271" s="5475"/>
      <c r="BB271" s="5338"/>
      <c r="BC271" s="5475"/>
      <c r="BD271" s="5555"/>
      <c r="BE271" s="4329"/>
      <c r="BF271" s="5543"/>
      <c r="BG271" s="4317"/>
      <c r="BH271" s="4318"/>
      <c r="BI271" s="4318" t="str">
        <f t="shared" si="4"/>
        <v/>
      </c>
      <c r="BJ271" s="4318"/>
      <c r="BK271" s="4318"/>
      <c r="BL271" s="4319">
        <v>0</v>
      </c>
    </row>
    <row r="272" spans="1:64" s="5212" customFormat="1" ht="21" customHeight="1">
      <c r="A272" s="4309"/>
      <c r="B272" s="4309"/>
      <c r="C272" s="4309"/>
      <c r="D272" s="4309"/>
      <c r="E272" s="5470"/>
      <c r="F272" s="5470"/>
      <c r="G272" s="5470"/>
      <c r="H272" s="5470"/>
      <c r="I272" s="5472"/>
      <c r="J272" s="5471" t="str">
        <f>I264&amp;".1"</f>
        <v>1.9.1.1.1</v>
      </c>
      <c r="K272" s="4309"/>
      <c r="L272" s="4310"/>
      <c r="M272" s="4311"/>
      <c r="N272" s="4311"/>
      <c r="O272" s="4311"/>
      <c r="P272" s="5473"/>
      <c r="Q272" s="5473"/>
      <c r="R272" s="4331"/>
      <c r="S272" s="5213"/>
      <c r="T272" s="5214" t="s">
        <v>576</v>
      </c>
      <c r="U272" s="5215"/>
      <c r="V272" s="5216"/>
      <c r="W272" s="5217"/>
      <c r="X272" s="5218"/>
      <c r="Y272" s="5219"/>
      <c r="Z272" s="5220"/>
      <c r="AA272" s="5221"/>
      <c r="AB272" s="5222"/>
      <c r="AC272" s="5223"/>
      <c r="AD272" s="5224"/>
      <c r="AE272" s="5225"/>
      <c r="AF272" s="5226"/>
      <c r="AG272" s="5227"/>
      <c r="AH272" s="5228"/>
      <c r="AI272" s="5229"/>
      <c r="AJ272" s="5230"/>
      <c r="AK272" s="5231"/>
      <c r="AL272" s="5232"/>
      <c r="AM272" s="5233"/>
      <c r="AN272" s="5234"/>
      <c r="AO272" s="5235"/>
      <c r="AP272" s="5236"/>
      <c r="AQ272" s="5237"/>
      <c r="AR272" s="5238"/>
      <c r="AS272" s="5239"/>
      <c r="AT272" s="5240"/>
      <c r="AU272" s="5241"/>
      <c r="AV272" s="5242"/>
      <c r="AW272" s="5243"/>
      <c r="AX272" s="5244"/>
      <c r="AY272" s="5245"/>
      <c r="AZ272" s="5246"/>
      <c r="BA272" s="5247"/>
      <c r="BB272" s="5248"/>
      <c r="BC272" s="5249"/>
      <c r="BD272" s="5250"/>
      <c r="BE272" s="5251"/>
      <c r="BF272" s="4371" t="s">
        <v>577</v>
      </c>
      <c r="BG272" s="4317"/>
      <c r="BH272" s="4318"/>
      <c r="BI272" s="4318" t="str">
        <f t="shared" si="4"/>
        <v>Добавить значение признака дифференциации</v>
      </c>
      <c r="BJ272" s="4318"/>
      <c r="BK272" s="4318"/>
      <c r="BL272" s="4319">
        <v>0</v>
      </c>
    </row>
    <row r="273" spans="1:64" s="5252" customFormat="1" ht="21" customHeight="1">
      <c r="A273" s="2197"/>
      <c r="B273" s="2197"/>
      <c r="C273" s="2197"/>
      <c r="D273" s="2197"/>
      <c r="E273" s="5470"/>
      <c r="F273" s="5470" t="s">
        <v>129</v>
      </c>
      <c r="G273" s="5470"/>
      <c r="H273" s="5470"/>
      <c r="I273" s="5471"/>
      <c r="J273" s="2197"/>
      <c r="K273" s="2197"/>
      <c r="L273" s="2198"/>
      <c r="M273" s="2208"/>
      <c r="N273" s="2208"/>
      <c r="O273" s="2208"/>
      <c r="P273" s="5473"/>
      <c r="Q273" s="2209"/>
      <c r="R273" s="2210"/>
      <c r="S273" s="4174"/>
      <c r="T273" s="4175" t="s">
        <v>505</v>
      </c>
      <c r="U273" s="4176"/>
      <c r="V273" s="4177"/>
      <c r="W273" s="4178"/>
      <c r="X273" s="4179"/>
      <c r="Y273" s="4180"/>
      <c r="Z273" s="4181"/>
      <c r="AA273" s="4182"/>
      <c r="AB273" s="4183"/>
      <c r="AC273" s="4184"/>
      <c r="AD273" s="4185"/>
      <c r="AE273" s="4186"/>
      <c r="AF273" s="4187"/>
      <c r="AG273" s="4188"/>
      <c r="AH273" s="4189"/>
      <c r="AI273" s="4190"/>
      <c r="AJ273" s="4191"/>
      <c r="AK273" s="4192"/>
      <c r="AL273" s="4193"/>
      <c r="AM273" s="4194"/>
      <c r="AN273" s="4195"/>
      <c r="AO273" s="4196"/>
      <c r="AP273" s="4197"/>
      <c r="AQ273" s="4198"/>
      <c r="AR273" s="4199"/>
      <c r="AS273" s="4200"/>
      <c r="AT273" s="4201"/>
      <c r="AU273" s="4202"/>
      <c r="AV273" s="4203"/>
      <c r="AW273" s="4204"/>
      <c r="AX273" s="4205"/>
      <c r="AY273" s="4206"/>
      <c r="AZ273" s="4207"/>
      <c r="BA273" s="4208"/>
      <c r="BB273" s="4209"/>
      <c r="BC273" s="4210"/>
      <c r="BD273" s="4211"/>
      <c r="BE273" s="4212"/>
      <c r="BF273" s="4213"/>
      <c r="BG273" s="2129"/>
      <c r="BH273" s="2207"/>
      <c r="BI273" s="2207" t="str">
        <f t="shared" si="4"/>
        <v>Добавить группу потребителей</v>
      </c>
      <c r="BJ273" s="2207"/>
      <c r="BK273" s="2207"/>
      <c r="BL273" s="2054">
        <v>0</v>
      </c>
    </row>
    <row r="274" spans="1:64" s="5253" customFormat="1" ht="21" customHeight="1">
      <c r="A274" s="2197"/>
      <c r="B274" s="2197"/>
      <c r="C274" s="2197"/>
      <c r="D274" s="2197"/>
      <c r="E274" s="5470"/>
      <c r="F274" s="5470" t="s">
        <v>129</v>
      </c>
      <c r="G274" s="5470"/>
      <c r="H274" s="5469"/>
      <c r="I274" s="2197"/>
      <c r="J274" s="2197"/>
      <c r="K274" s="2197"/>
      <c r="L274" s="2198"/>
      <c r="M274" s="2199"/>
      <c r="N274" s="2199"/>
      <c r="O274" s="2123"/>
      <c r="P274" s="2298"/>
      <c r="Q274" s="2299"/>
      <c r="R274" s="2300"/>
      <c r="S274" s="4214"/>
      <c r="T274" s="4215" t="s">
        <v>578</v>
      </c>
      <c r="U274" s="4216"/>
      <c r="V274" s="4217"/>
      <c r="W274" s="4218"/>
      <c r="X274" s="4219"/>
      <c r="Y274" s="4220"/>
      <c r="Z274" s="4221"/>
      <c r="AA274" s="4222"/>
      <c r="AB274" s="4223"/>
      <c r="AC274" s="4224"/>
      <c r="AD274" s="4225"/>
      <c r="AE274" s="4226"/>
      <c r="AF274" s="4227"/>
      <c r="AG274" s="4228"/>
      <c r="AH274" s="4229"/>
      <c r="AI274" s="4230"/>
      <c r="AJ274" s="4231"/>
      <c r="AK274" s="4232"/>
      <c r="AL274" s="4233"/>
      <c r="AM274" s="4234"/>
      <c r="AN274" s="4235"/>
      <c r="AO274" s="4236"/>
      <c r="AP274" s="4237"/>
      <c r="AQ274" s="4238"/>
      <c r="AR274" s="4239"/>
      <c r="AS274" s="4240"/>
      <c r="AT274" s="4241"/>
      <c r="AU274" s="4242"/>
      <c r="AV274" s="4243"/>
      <c r="AW274" s="4244"/>
      <c r="AX274" s="4245"/>
      <c r="AY274" s="4246"/>
      <c r="AZ274" s="4247"/>
      <c r="BA274" s="4248"/>
      <c r="BB274" s="4249"/>
      <c r="BC274" s="4250"/>
      <c r="BD274" s="4251"/>
      <c r="BE274" s="4252"/>
      <c r="BF274" s="4253"/>
      <c r="BG274" s="2129"/>
      <c r="BH274" s="2207"/>
      <c r="BI274" s="2207" t="str">
        <f t="shared" si="4"/>
        <v>Добавить наименование признака дифференциации</v>
      </c>
      <c r="BJ274" s="2207"/>
      <c r="BK274" s="2207"/>
      <c r="BL274" s="2054">
        <v>0</v>
      </c>
    </row>
    <row r="275" spans="1:64" s="5254" customFormat="1" ht="14.25" customHeight="1">
      <c r="A275" s="2938"/>
      <c r="B275" s="2938"/>
      <c r="C275" s="2938"/>
      <c r="D275" s="2938"/>
      <c r="E275" s="5470"/>
      <c r="F275" s="5469" t="s">
        <v>129</v>
      </c>
      <c r="G275" s="2938"/>
      <c r="H275" s="2938"/>
      <c r="I275" s="2938"/>
      <c r="J275" s="2938"/>
      <c r="K275" s="2938"/>
      <c r="L275" s="2939"/>
      <c r="M275" s="2940"/>
      <c r="N275" s="2940"/>
      <c r="O275" s="2129"/>
      <c r="P275" s="2941"/>
      <c r="Q275" s="2942"/>
      <c r="R275" s="2941"/>
      <c r="S275" s="2943"/>
      <c r="T275" s="2944" t="s">
        <v>312</v>
      </c>
      <c r="U275" s="2122"/>
      <c r="V275" s="2122"/>
      <c r="W275" s="2122"/>
      <c r="X275" s="2122"/>
      <c r="Y275" s="2122"/>
      <c r="Z275" s="2122"/>
      <c r="AA275" s="2122"/>
      <c r="AB275" s="2122"/>
      <c r="AC275" s="2122"/>
      <c r="AD275" s="2122"/>
      <c r="AE275" s="2122"/>
      <c r="AF275" s="2122"/>
      <c r="AG275" s="2122"/>
      <c r="AH275" s="2122"/>
      <c r="AI275" s="2122"/>
      <c r="AJ275" s="2122"/>
      <c r="AK275" s="2122"/>
      <c r="AL275" s="2122"/>
      <c r="AM275" s="2122"/>
      <c r="AN275" s="2122"/>
      <c r="AO275" s="2122"/>
      <c r="AP275" s="2122"/>
      <c r="AQ275" s="2122"/>
      <c r="AR275" s="2122"/>
      <c r="AS275" s="2122"/>
      <c r="AT275" s="2122"/>
      <c r="AU275" s="2122"/>
      <c r="AV275" s="2122"/>
      <c r="AW275" s="2122"/>
      <c r="AX275" s="2122"/>
      <c r="AY275" s="2122"/>
      <c r="AZ275" s="2122"/>
      <c r="BA275" s="2122"/>
      <c r="BB275" s="2122"/>
      <c r="BC275" s="2122"/>
      <c r="BD275" s="2122"/>
      <c r="BE275" s="2122"/>
      <c r="BF275" s="2122"/>
      <c r="BG275" s="2129"/>
      <c r="BH275" s="2207"/>
      <c r="BI275" s="2207" t="str">
        <f t="shared" si="4"/>
        <v>Добавить централизованную систему для дифференциации</v>
      </c>
      <c r="BJ275" s="2207"/>
      <c r="BK275" s="2207"/>
      <c r="BL275" s="2129">
        <v>0</v>
      </c>
    </row>
    <row r="276" spans="1:64" s="4275" customFormat="1" ht="0" hidden="1" customHeight="1">
      <c r="A276" s="1264" t="s">
        <v>297</v>
      </c>
      <c r="B276" s="1264"/>
      <c r="C276" s="1264"/>
      <c r="D276" s="1264"/>
      <c r="E276" s="5469"/>
      <c r="F276" s="1264"/>
      <c r="G276" s="1264"/>
      <c r="H276" s="1264"/>
      <c r="I276" s="1264"/>
      <c r="J276" s="1264"/>
      <c r="K276" s="1264"/>
      <c r="L276" s="1267"/>
      <c r="M276" s="1242"/>
      <c r="N276" s="1242"/>
      <c r="O276" s="456"/>
      <c r="P276" s="318"/>
      <c r="Q276" s="1265"/>
      <c r="R276" s="318"/>
      <c r="S276" s="1243"/>
      <c r="T276" s="1246" t="s">
        <v>360</v>
      </c>
      <c r="U276" s="1245"/>
      <c r="V276" s="1245"/>
      <c r="W276" s="1245"/>
      <c r="X276" s="1245"/>
      <c r="Y276" s="1245"/>
      <c r="Z276" s="1245"/>
      <c r="AA276" s="1245"/>
      <c r="AB276" s="1245"/>
      <c r="AC276" s="1245"/>
      <c r="AD276" s="1245"/>
      <c r="AE276" s="1245"/>
      <c r="AF276" s="1245"/>
      <c r="AG276" s="1245"/>
      <c r="AH276" s="1245"/>
      <c r="AI276" s="1245"/>
      <c r="AJ276" s="2122"/>
      <c r="AK276" s="2122"/>
      <c r="AL276" s="2122"/>
      <c r="AM276" s="2122"/>
      <c r="AN276" s="2122"/>
      <c r="AO276" s="2122"/>
      <c r="AP276" s="2122"/>
      <c r="AQ276" s="2122"/>
      <c r="AR276" s="2122"/>
      <c r="AS276" s="2122"/>
      <c r="AT276" s="2122"/>
      <c r="AU276" s="2122"/>
      <c r="AV276" s="2122"/>
      <c r="AW276" s="2122"/>
      <c r="AX276" s="2122"/>
      <c r="AY276" s="2122"/>
      <c r="AZ276" s="2122"/>
      <c r="BA276" s="2122"/>
      <c r="BB276" s="2122"/>
      <c r="BC276" s="2122"/>
      <c r="BD276" s="2122"/>
      <c r="BE276" s="1245"/>
      <c r="BF276" s="1245"/>
      <c r="BH276" s="438"/>
      <c r="BI276" s="438" t="str">
        <f t="shared" si="4"/>
        <v>Добавить территорию для дифференциации</v>
      </c>
      <c r="BJ276" s="438"/>
      <c r="BK276" s="438"/>
      <c r="BL276" s="449">
        <v>0</v>
      </c>
    </row>
    <row r="277" spans="1:64" s="4275" customFormat="1" ht="0" hidden="1" customHeight="1">
      <c r="A277" s="1235"/>
      <c r="B277" s="1235"/>
      <c r="C277" s="1235"/>
      <c r="D277" s="1235"/>
      <c r="E277" s="1264"/>
      <c r="F277" s="1235"/>
      <c r="G277" s="1235"/>
      <c r="H277" s="1235"/>
      <c r="I277" s="1235"/>
      <c r="J277" s="1235"/>
      <c r="K277" s="1235"/>
      <c r="L277" s="1415"/>
      <c r="M277" s="1242"/>
      <c r="N277" s="1242"/>
      <c r="P277" s="1237"/>
      <c r="Q277" s="1238"/>
      <c r="R277" s="1237"/>
      <c r="S277" s="1243"/>
      <c r="T277" s="1246" t="s">
        <v>361</v>
      </c>
      <c r="U277" s="1245"/>
      <c r="V277" s="1245"/>
      <c r="W277" s="1245"/>
      <c r="X277" s="1245"/>
      <c r="Y277" s="1245"/>
      <c r="Z277" s="1245"/>
      <c r="AA277" s="1245"/>
      <c r="AB277" s="1245"/>
      <c r="AC277" s="1245"/>
      <c r="AD277" s="1245"/>
      <c r="AE277" s="1245"/>
      <c r="AF277" s="1245"/>
      <c r="AG277" s="1245"/>
      <c r="AH277" s="1245"/>
      <c r="AI277" s="1245"/>
      <c r="AJ277" s="2122"/>
      <c r="AK277" s="2122"/>
      <c r="AL277" s="2122"/>
      <c r="AM277" s="2122"/>
      <c r="AN277" s="2122"/>
      <c r="AO277" s="2122"/>
      <c r="AP277" s="2122"/>
      <c r="AQ277" s="2122"/>
      <c r="AR277" s="2122"/>
      <c r="AS277" s="2122"/>
      <c r="AT277" s="2122"/>
      <c r="AU277" s="2122"/>
      <c r="AV277" s="2122"/>
      <c r="AW277" s="2122"/>
      <c r="AX277" s="2122"/>
      <c r="AY277" s="2122"/>
      <c r="AZ277" s="2122"/>
      <c r="BA277" s="2122"/>
      <c r="BB277" s="2122"/>
      <c r="BC277" s="2122"/>
      <c r="BD277" s="2122"/>
      <c r="BE277" s="1245"/>
      <c r="BF277" s="1245"/>
      <c r="BH277" s="721"/>
      <c r="BI277" s="721" t="str">
        <f t="shared" si="4"/>
        <v>Добавить наименование тарифа</v>
      </c>
      <c r="BJ277" s="721"/>
      <c r="BK277" s="721"/>
      <c r="BL277" s="456">
        <v>0</v>
      </c>
    </row>
    <row r="278" spans="1:64" ht="11.45" customHeight="1">
      <c r="M278" s="1081"/>
      <c r="N278" s="1081"/>
      <c r="O278" s="475"/>
      <c r="P278" s="1076"/>
      <c r="Q278" s="1076"/>
      <c r="R278" s="1076"/>
      <c r="S278" s="1076"/>
      <c r="AJ278" s="2054"/>
      <c r="AK278" s="2054"/>
      <c r="AL278" s="2054"/>
      <c r="AM278" s="2054"/>
      <c r="AN278" s="2054"/>
      <c r="AO278" s="2054"/>
      <c r="AP278" s="2054"/>
      <c r="AQ278" s="2054"/>
      <c r="AR278" s="2054"/>
      <c r="AS278" s="2054"/>
      <c r="AT278" s="2054"/>
      <c r="AU278" s="2054"/>
      <c r="AV278" s="2054"/>
      <c r="AW278" s="2054"/>
      <c r="AX278" s="2054"/>
      <c r="AY278" s="2054"/>
      <c r="AZ278" s="2054"/>
      <c r="BA278" s="2054"/>
      <c r="BB278" s="2054"/>
      <c r="BC278" s="2054"/>
      <c r="BD278" s="2054"/>
      <c r="BG278" s="1076"/>
      <c r="BH278" s="1076"/>
      <c r="BI278" s="1076"/>
      <c r="BJ278" s="1076"/>
      <c r="BK278" s="1076"/>
      <c r="BL278" s="1076">
        <v>11</v>
      </c>
    </row>
    <row r="279" spans="1:64" ht="14.65" customHeight="1">
      <c r="O279" s="475"/>
      <c r="S279" s="1174"/>
      <c r="T279" s="5468"/>
      <c r="U279" s="5468"/>
      <c r="V279" s="5468"/>
      <c r="W279" s="5468"/>
      <c r="X279" s="5468"/>
      <c r="Y279" s="5468"/>
      <c r="Z279" s="5468"/>
      <c r="AA279" s="5468"/>
      <c r="AB279" s="5468"/>
      <c r="AC279" s="5468"/>
      <c r="AD279" s="5468"/>
      <c r="AE279" s="5468"/>
      <c r="AF279" s="5468"/>
      <c r="AG279" s="5468"/>
      <c r="AH279" s="5468"/>
      <c r="AI279" s="5468"/>
      <c r="AJ279" s="5468"/>
      <c r="AK279" s="5468"/>
      <c r="AL279" s="5468"/>
      <c r="AM279" s="5468"/>
      <c r="AN279" s="5468"/>
      <c r="AO279" s="5468"/>
      <c r="AP279" s="5468"/>
      <c r="AQ279" s="5468"/>
      <c r="AR279" s="5468"/>
      <c r="AS279" s="5468"/>
      <c r="AT279" s="5468"/>
      <c r="AU279" s="5468"/>
      <c r="AV279" s="5468"/>
      <c r="AW279" s="5468"/>
      <c r="AX279" s="5468"/>
      <c r="AY279" s="5468"/>
      <c r="AZ279" s="5468"/>
      <c r="BA279" s="5468"/>
      <c r="BB279" s="5468"/>
      <c r="BC279" s="5468"/>
      <c r="BD279" s="5468"/>
      <c r="BE279" s="5468"/>
      <c r="BF279" s="5468"/>
      <c r="BL279" s="1076">
        <v>14</v>
      </c>
    </row>
    <row r="280" spans="1:64" ht="14.65" customHeight="1">
      <c r="O280" s="475"/>
      <c r="AJ280" s="2054"/>
      <c r="AK280" s="2054"/>
      <c r="AL280" s="2054"/>
      <c r="AM280" s="2054"/>
      <c r="AN280" s="2054"/>
      <c r="AO280" s="2054"/>
      <c r="AP280" s="2054"/>
      <c r="AQ280" s="2054"/>
      <c r="AR280" s="2054"/>
      <c r="AS280" s="2054"/>
      <c r="AT280" s="2054"/>
      <c r="AU280" s="2054"/>
      <c r="AV280" s="2054"/>
      <c r="AW280" s="2054"/>
      <c r="AX280" s="2054"/>
      <c r="AY280" s="2054"/>
      <c r="AZ280" s="2054"/>
      <c r="BA280" s="2054"/>
      <c r="BB280" s="2054"/>
      <c r="BC280" s="2054"/>
      <c r="BD280" s="2054"/>
      <c r="BL280" s="1076">
        <v>14</v>
      </c>
    </row>
    <row r="281" spans="1:64" ht="14.65" customHeight="1">
      <c r="O281" s="475"/>
      <c r="S281" s="1174"/>
      <c r="T281" s="5468"/>
      <c r="U281" s="5468"/>
      <c r="V281" s="5468"/>
      <c r="W281" s="5468"/>
      <c r="X281" s="5468"/>
      <c r="Y281" s="5468"/>
      <c r="Z281" s="5468"/>
      <c r="AA281" s="5468"/>
      <c r="AB281" s="5468"/>
      <c r="AC281" s="5468"/>
      <c r="AD281" s="5468"/>
      <c r="AE281" s="5468"/>
      <c r="AF281" s="5468"/>
      <c r="AG281" s="5468"/>
      <c r="AH281" s="5468"/>
      <c r="AI281" s="5468"/>
      <c r="AJ281" s="5468"/>
      <c r="AK281" s="5468"/>
      <c r="AL281" s="5468"/>
      <c r="AM281" s="5468"/>
      <c r="AN281" s="5468"/>
      <c r="AO281" s="5468"/>
      <c r="AP281" s="5468"/>
      <c r="AQ281" s="5468"/>
      <c r="AR281" s="5468"/>
      <c r="AS281" s="5468"/>
      <c r="AT281" s="5468"/>
      <c r="AU281" s="5468"/>
      <c r="AV281" s="5468"/>
      <c r="AW281" s="5468"/>
      <c r="AX281" s="5468"/>
      <c r="AY281" s="5468"/>
      <c r="AZ281" s="5468"/>
      <c r="BA281" s="5468"/>
      <c r="BB281" s="5468"/>
      <c r="BC281" s="5468"/>
      <c r="BD281" s="5468"/>
      <c r="BE281" s="5468"/>
      <c r="BF281" s="5468"/>
      <c r="BL281" s="1076">
        <v>14</v>
      </c>
    </row>
    <row r="282" spans="1:64" ht="22.5" hidden="1" customHeight="1">
      <c r="A282" s="1081" t="s">
        <v>82</v>
      </c>
      <c r="B282" s="1081">
        <v>0</v>
      </c>
      <c r="C282" s="1081">
        <v>0</v>
      </c>
      <c r="D282" s="1081">
        <v>0</v>
      </c>
      <c r="E282" s="1081">
        <v>0</v>
      </c>
      <c r="F282" s="1081">
        <v>0</v>
      </c>
      <c r="G282" s="1081">
        <v>0</v>
      </c>
      <c r="H282" s="1081">
        <v>0</v>
      </c>
      <c r="I282" s="1081">
        <v>0</v>
      </c>
      <c r="J282" s="1081">
        <v>0</v>
      </c>
      <c r="K282" s="1081">
        <v>0</v>
      </c>
      <c r="L282" s="1399">
        <v>0</v>
      </c>
      <c r="M282" s="1283">
        <v>0</v>
      </c>
      <c r="N282" s="1283">
        <v>0</v>
      </c>
      <c r="O282" s="1283">
        <v>0</v>
      </c>
      <c r="P282" s="1394">
        <v>3</v>
      </c>
      <c r="Q282" s="282">
        <v>3</v>
      </c>
      <c r="R282" s="282">
        <v>3</v>
      </c>
      <c r="S282" s="519">
        <v>12</v>
      </c>
      <c r="T282" s="1076">
        <v>35</v>
      </c>
      <c r="U282" s="1076">
        <v>0</v>
      </c>
      <c r="V282" s="1076">
        <v>0</v>
      </c>
      <c r="W282" s="1076">
        <v>0</v>
      </c>
      <c r="X282" s="1076">
        <v>0</v>
      </c>
      <c r="Y282" s="1076">
        <v>0</v>
      </c>
      <c r="Z282" s="1076">
        <v>0</v>
      </c>
      <c r="AA282" s="1076">
        <v>0</v>
      </c>
      <c r="AB282" s="1076">
        <v>0</v>
      </c>
      <c r="AC282" s="1076">
        <v>24</v>
      </c>
      <c r="AD282" s="1076">
        <v>24</v>
      </c>
      <c r="AE282" s="1076">
        <v>24</v>
      </c>
      <c r="AF282" s="1076">
        <v>11</v>
      </c>
      <c r="AG282" s="1076">
        <v>3</v>
      </c>
      <c r="AH282" s="1076">
        <v>11</v>
      </c>
      <c r="AI282" s="1076">
        <v>0</v>
      </c>
      <c r="AJ282" s="2054">
        <v>0</v>
      </c>
      <c r="AK282" s="2054">
        <v>0</v>
      </c>
      <c r="AL282" s="2054">
        <v>0</v>
      </c>
      <c r="AM282" s="2054">
        <v>0</v>
      </c>
      <c r="AN282" s="2054">
        <v>0</v>
      </c>
      <c r="AO282" s="2054">
        <v>0</v>
      </c>
      <c r="AP282" s="2054">
        <v>0</v>
      </c>
      <c r="AQ282" s="2054">
        <v>0</v>
      </c>
      <c r="AR282" s="2054">
        <v>0</v>
      </c>
      <c r="AS282" s="2054">
        <v>0</v>
      </c>
      <c r="AT282" s="2054">
        <v>0</v>
      </c>
      <c r="AU282" s="2054">
        <v>0</v>
      </c>
      <c r="AV282" s="2054">
        <v>0</v>
      </c>
      <c r="AW282" s="2054">
        <v>0</v>
      </c>
      <c r="AX282" s="2054">
        <v>0</v>
      </c>
      <c r="AY282" s="2054">
        <v>0</v>
      </c>
      <c r="AZ282" s="2054">
        <v>0</v>
      </c>
      <c r="BA282" s="2054">
        <v>0</v>
      </c>
      <c r="BB282" s="2054">
        <v>0</v>
      </c>
      <c r="BC282" s="2054">
        <v>0</v>
      </c>
      <c r="BD282" s="2054">
        <v>0</v>
      </c>
      <c r="BE282" s="1076">
        <v>4</v>
      </c>
      <c r="BF282" s="1076">
        <v>115</v>
      </c>
      <c r="BG282" s="449">
        <v>10</v>
      </c>
      <c r="BH282" s="449">
        <v>10</v>
      </c>
      <c r="BI282" s="449">
        <v>10</v>
      </c>
      <c r="BJ282" s="449">
        <v>10</v>
      </c>
      <c r="BK282" s="449">
        <v>10</v>
      </c>
      <c r="BL282" s="1076">
        <v>23</v>
      </c>
    </row>
  </sheetData>
  <sheetProtection formatColumns="0" formatRows="0" insertRows="0" deleteColumns="0" deleteRows="0" sort="0" autoFilter="0"/>
  <mergeCells count="1234">
    <mergeCell ref="J269:J272"/>
    <mergeCell ref="Q269:Q272"/>
    <mergeCell ref="V269:AB269"/>
    <mergeCell ref="AC269:BE269"/>
    <mergeCell ref="K270:K271"/>
    <mergeCell ref="Y270:Y271"/>
    <mergeCell ref="AI270:AI271"/>
    <mergeCell ref="AM270:AM271"/>
    <mergeCell ref="AN270:AN271"/>
    <mergeCell ref="AO270:AO271"/>
    <mergeCell ref="AP270:AP271"/>
    <mergeCell ref="AT270:AT271"/>
    <mergeCell ref="AU270:AU271"/>
    <mergeCell ref="AV270:AV271"/>
    <mergeCell ref="AW270:AW271"/>
    <mergeCell ref="BA270:BA271"/>
    <mergeCell ref="BB270:BB271"/>
    <mergeCell ref="BC270:BC271"/>
    <mergeCell ref="BD270:BD271"/>
    <mergeCell ref="BF256:BF257"/>
    <mergeCell ref="Z256:Z257"/>
    <mergeCell ref="AA256:AA257"/>
    <mergeCell ref="AB256:AB257"/>
    <mergeCell ref="AF256:AF257"/>
    <mergeCell ref="AG256:AG257"/>
    <mergeCell ref="AH256:AH257"/>
    <mergeCell ref="J255:J258"/>
    <mergeCell ref="Q255:Q258"/>
    <mergeCell ref="V255:AB255"/>
    <mergeCell ref="AC255:BE255"/>
    <mergeCell ref="K256:K257"/>
    <mergeCell ref="Y256:Y257"/>
    <mergeCell ref="AI256:AI257"/>
    <mergeCell ref="AM256:AM257"/>
    <mergeCell ref="AN256:AN257"/>
    <mergeCell ref="AO256:AO257"/>
    <mergeCell ref="AP256:AP257"/>
    <mergeCell ref="AT256:AT257"/>
    <mergeCell ref="AU256:AU257"/>
    <mergeCell ref="AV256:AV257"/>
    <mergeCell ref="AW256:AW257"/>
    <mergeCell ref="BA256:BA257"/>
    <mergeCell ref="BB256:BB257"/>
    <mergeCell ref="BC256:BC257"/>
    <mergeCell ref="BD256:BD257"/>
    <mergeCell ref="BF244:BF245"/>
    <mergeCell ref="Z244:Z245"/>
    <mergeCell ref="AA244:AA245"/>
    <mergeCell ref="AB244:AB245"/>
    <mergeCell ref="AF244:AF245"/>
    <mergeCell ref="AG244:AG245"/>
    <mergeCell ref="AH244:AH245"/>
    <mergeCell ref="J243:J246"/>
    <mergeCell ref="Q243:Q246"/>
    <mergeCell ref="V243:AB243"/>
    <mergeCell ref="AC243:BE243"/>
    <mergeCell ref="K244:K245"/>
    <mergeCell ref="Y244:Y245"/>
    <mergeCell ref="AI244:AI245"/>
    <mergeCell ref="AM244:AM245"/>
    <mergeCell ref="AN244:AN245"/>
    <mergeCell ref="AO244:AO245"/>
    <mergeCell ref="AP244:AP245"/>
    <mergeCell ref="AT244:AT245"/>
    <mergeCell ref="AU244:AU245"/>
    <mergeCell ref="AV244:AV245"/>
    <mergeCell ref="AW244:AW245"/>
    <mergeCell ref="BA244:BA245"/>
    <mergeCell ref="BB244:BB245"/>
    <mergeCell ref="BC244:BC245"/>
    <mergeCell ref="BD244:BD245"/>
    <mergeCell ref="BF232:BF233"/>
    <mergeCell ref="Z232:Z233"/>
    <mergeCell ref="AA232:AA233"/>
    <mergeCell ref="AB232:AB233"/>
    <mergeCell ref="AF232:AF233"/>
    <mergeCell ref="AG232:AG233"/>
    <mergeCell ref="AH232:AH233"/>
    <mergeCell ref="J231:J234"/>
    <mergeCell ref="Q231:Q234"/>
    <mergeCell ref="V231:AB231"/>
    <mergeCell ref="AC231:BE231"/>
    <mergeCell ref="K232:K233"/>
    <mergeCell ref="Y232:Y233"/>
    <mergeCell ref="AI232:AI233"/>
    <mergeCell ref="AM232:AM233"/>
    <mergeCell ref="AN232:AN233"/>
    <mergeCell ref="AO232:AO233"/>
    <mergeCell ref="AP232:AP233"/>
    <mergeCell ref="AT232:AT233"/>
    <mergeCell ref="AU232:AU233"/>
    <mergeCell ref="AV232:AV233"/>
    <mergeCell ref="AW232:AW233"/>
    <mergeCell ref="BA232:BA233"/>
    <mergeCell ref="BB232:BB233"/>
    <mergeCell ref="BC232:BC233"/>
    <mergeCell ref="BD232:BD233"/>
    <mergeCell ref="BF220:BF221"/>
    <mergeCell ref="Z220:Z221"/>
    <mergeCell ref="AA220:AA221"/>
    <mergeCell ref="AB220:AB221"/>
    <mergeCell ref="AF220:AF221"/>
    <mergeCell ref="AG220:AG221"/>
    <mergeCell ref="AH220:AH221"/>
    <mergeCell ref="J219:J222"/>
    <mergeCell ref="Q219:Q222"/>
    <mergeCell ref="V219:AB219"/>
    <mergeCell ref="AC219:BE219"/>
    <mergeCell ref="K220:K221"/>
    <mergeCell ref="Y220:Y221"/>
    <mergeCell ref="AI220:AI221"/>
    <mergeCell ref="AM220:AM221"/>
    <mergeCell ref="AN220:AN221"/>
    <mergeCell ref="AO220:AO221"/>
    <mergeCell ref="AP220:AP221"/>
    <mergeCell ref="AT220:AT221"/>
    <mergeCell ref="AU220:AU221"/>
    <mergeCell ref="AV220:AV221"/>
    <mergeCell ref="AW220:AW221"/>
    <mergeCell ref="BA220:BA221"/>
    <mergeCell ref="BB220:BB221"/>
    <mergeCell ref="BC220:BC221"/>
    <mergeCell ref="BD220:BD221"/>
    <mergeCell ref="BF206:BF207"/>
    <mergeCell ref="Z206:Z207"/>
    <mergeCell ref="AA206:AA207"/>
    <mergeCell ref="AB206:AB207"/>
    <mergeCell ref="AF206:AF207"/>
    <mergeCell ref="AG206:AG207"/>
    <mergeCell ref="AH206:AH207"/>
    <mergeCell ref="J205:J208"/>
    <mergeCell ref="Q205:Q208"/>
    <mergeCell ref="V205:AB205"/>
    <mergeCell ref="AC205:BE205"/>
    <mergeCell ref="K206:K207"/>
    <mergeCell ref="Y206:Y207"/>
    <mergeCell ref="AI206:AI207"/>
    <mergeCell ref="AM206:AM207"/>
    <mergeCell ref="AN206:AN207"/>
    <mergeCell ref="AO206:AO207"/>
    <mergeCell ref="AP206:AP207"/>
    <mergeCell ref="AT206:AT207"/>
    <mergeCell ref="AU206:AU207"/>
    <mergeCell ref="AV206:AV207"/>
    <mergeCell ref="AW206:AW207"/>
    <mergeCell ref="BA206:BA207"/>
    <mergeCell ref="BB206:BB207"/>
    <mergeCell ref="BC206:BC207"/>
    <mergeCell ref="BD206:BD207"/>
    <mergeCell ref="AA192:AA193"/>
    <mergeCell ref="AB192:AB193"/>
    <mergeCell ref="AF192:AF193"/>
    <mergeCell ref="AG192:AG193"/>
    <mergeCell ref="AH192:AH193"/>
    <mergeCell ref="J191:J194"/>
    <mergeCell ref="Q191:Q194"/>
    <mergeCell ref="V191:AB191"/>
    <mergeCell ref="AC191:BE191"/>
    <mergeCell ref="K192:K193"/>
    <mergeCell ref="Y192:Y193"/>
    <mergeCell ref="AI192:AI193"/>
    <mergeCell ref="AM192:AM193"/>
    <mergeCell ref="AN192:AN193"/>
    <mergeCell ref="AO192:AO193"/>
    <mergeCell ref="AP192:AP193"/>
    <mergeCell ref="AT192:AT193"/>
    <mergeCell ref="AU192:AU193"/>
    <mergeCell ref="AV192:AV193"/>
    <mergeCell ref="AW192:AW193"/>
    <mergeCell ref="BA192:BA193"/>
    <mergeCell ref="BB192:BB193"/>
    <mergeCell ref="BC192:BC193"/>
    <mergeCell ref="BD192:BD193"/>
    <mergeCell ref="BF180:BF181"/>
    <mergeCell ref="Z180:Z181"/>
    <mergeCell ref="AA180:AA181"/>
    <mergeCell ref="AB180:AB181"/>
    <mergeCell ref="AF180:AF181"/>
    <mergeCell ref="AG180:AG181"/>
    <mergeCell ref="AH180:AH181"/>
    <mergeCell ref="J179:J182"/>
    <mergeCell ref="Q179:Q182"/>
    <mergeCell ref="V179:AB179"/>
    <mergeCell ref="AC179:BE179"/>
    <mergeCell ref="K180:K181"/>
    <mergeCell ref="Y180:Y181"/>
    <mergeCell ref="AI180:AI181"/>
    <mergeCell ref="AM180:AM181"/>
    <mergeCell ref="AN180:AN181"/>
    <mergeCell ref="AO180:AO181"/>
    <mergeCell ref="AP180:AP181"/>
    <mergeCell ref="AT180:AT181"/>
    <mergeCell ref="AU180:AU181"/>
    <mergeCell ref="AV180:AV181"/>
    <mergeCell ref="AW180:AW181"/>
    <mergeCell ref="BA180:BA181"/>
    <mergeCell ref="BB180:BB181"/>
    <mergeCell ref="BC180:BC181"/>
    <mergeCell ref="BD180:BD181"/>
    <mergeCell ref="AB166:AB167"/>
    <mergeCell ref="AF166:AF167"/>
    <mergeCell ref="AG166:AG167"/>
    <mergeCell ref="AH166:AH167"/>
    <mergeCell ref="J165:J168"/>
    <mergeCell ref="Q165:Q168"/>
    <mergeCell ref="V165:AB165"/>
    <mergeCell ref="AC165:BE165"/>
    <mergeCell ref="K166:K167"/>
    <mergeCell ref="Y166:Y167"/>
    <mergeCell ref="AI166:AI167"/>
    <mergeCell ref="AM166:AM167"/>
    <mergeCell ref="AN166:AN167"/>
    <mergeCell ref="AO166:AO167"/>
    <mergeCell ref="AP166:AP167"/>
    <mergeCell ref="AT166:AT167"/>
    <mergeCell ref="AU166:AU167"/>
    <mergeCell ref="AV166:AV167"/>
    <mergeCell ref="AW166:AW167"/>
    <mergeCell ref="BA166:BA167"/>
    <mergeCell ref="BB166:BB167"/>
    <mergeCell ref="BC166:BC167"/>
    <mergeCell ref="BD166:BD167"/>
    <mergeCell ref="AB152:AB153"/>
    <mergeCell ref="AF152:AF153"/>
    <mergeCell ref="AG152:AG153"/>
    <mergeCell ref="AH152:AH153"/>
    <mergeCell ref="J151:J154"/>
    <mergeCell ref="Q151:Q154"/>
    <mergeCell ref="V151:AB151"/>
    <mergeCell ref="AC151:BE151"/>
    <mergeCell ref="K152:K153"/>
    <mergeCell ref="Y152:Y153"/>
    <mergeCell ref="AI152:AI153"/>
    <mergeCell ref="AM152:AM153"/>
    <mergeCell ref="AN152:AN153"/>
    <mergeCell ref="AO152:AO153"/>
    <mergeCell ref="AP152:AP153"/>
    <mergeCell ref="AT152:AT153"/>
    <mergeCell ref="AU152:AU153"/>
    <mergeCell ref="AV152:AV153"/>
    <mergeCell ref="AW152:AW153"/>
    <mergeCell ref="BA152:BA153"/>
    <mergeCell ref="BB152:BB153"/>
    <mergeCell ref="BC152:BC153"/>
    <mergeCell ref="BD152:BD153"/>
    <mergeCell ref="AB138:AB139"/>
    <mergeCell ref="AF138:AF139"/>
    <mergeCell ref="AG138:AG139"/>
    <mergeCell ref="AH138:AH139"/>
    <mergeCell ref="J137:J140"/>
    <mergeCell ref="Q137:Q140"/>
    <mergeCell ref="V137:AB137"/>
    <mergeCell ref="AC137:BE137"/>
    <mergeCell ref="K138:K139"/>
    <mergeCell ref="Y138:Y139"/>
    <mergeCell ref="AI138:AI139"/>
    <mergeCell ref="AM138:AM139"/>
    <mergeCell ref="AN138:AN139"/>
    <mergeCell ref="AO138:AO139"/>
    <mergeCell ref="AP138:AP139"/>
    <mergeCell ref="AT138:AT139"/>
    <mergeCell ref="AU138:AU139"/>
    <mergeCell ref="AV138:AV139"/>
    <mergeCell ref="AW138:AW139"/>
    <mergeCell ref="BA138:BA139"/>
    <mergeCell ref="BB138:BB139"/>
    <mergeCell ref="BC138:BC139"/>
    <mergeCell ref="BD138:BD139"/>
    <mergeCell ref="BF124:BF125"/>
    <mergeCell ref="Z124:Z125"/>
    <mergeCell ref="AA124:AA125"/>
    <mergeCell ref="AB124:AB125"/>
    <mergeCell ref="AF124:AF125"/>
    <mergeCell ref="AG124:AG125"/>
    <mergeCell ref="AH124:AH125"/>
    <mergeCell ref="J123:J126"/>
    <mergeCell ref="Q123:Q126"/>
    <mergeCell ref="V123:AB123"/>
    <mergeCell ref="AC123:BE123"/>
    <mergeCell ref="K124:K125"/>
    <mergeCell ref="Y124:Y125"/>
    <mergeCell ref="AI124:AI125"/>
    <mergeCell ref="AM124:AM125"/>
    <mergeCell ref="AN124:AN125"/>
    <mergeCell ref="AO124:AO125"/>
    <mergeCell ref="AP124:AP125"/>
    <mergeCell ref="AT124:AT125"/>
    <mergeCell ref="AU124:AU125"/>
    <mergeCell ref="AV124:AV125"/>
    <mergeCell ref="AW124:AW125"/>
    <mergeCell ref="BA124:BA125"/>
    <mergeCell ref="BB124:BB125"/>
    <mergeCell ref="BC124:BC125"/>
    <mergeCell ref="BD124:BD125"/>
    <mergeCell ref="BF112:BF113"/>
    <mergeCell ref="Z112:Z113"/>
    <mergeCell ref="AA112:AA113"/>
    <mergeCell ref="AB112:AB113"/>
    <mergeCell ref="AF112:AF113"/>
    <mergeCell ref="AG112:AG113"/>
    <mergeCell ref="AH112:AH113"/>
    <mergeCell ref="J111:J114"/>
    <mergeCell ref="Q111:Q114"/>
    <mergeCell ref="V111:AB111"/>
    <mergeCell ref="AC111:BE111"/>
    <mergeCell ref="K112:K113"/>
    <mergeCell ref="Y112:Y113"/>
    <mergeCell ref="AI112:AI113"/>
    <mergeCell ref="AM112:AM113"/>
    <mergeCell ref="AN112:AN113"/>
    <mergeCell ref="AO112:AO113"/>
    <mergeCell ref="AP112:AP113"/>
    <mergeCell ref="AT112:AT113"/>
    <mergeCell ref="AU112:AU113"/>
    <mergeCell ref="AV112:AV113"/>
    <mergeCell ref="AW112:AW113"/>
    <mergeCell ref="BA112:BA113"/>
    <mergeCell ref="BB112:BB113"/>
    <mergeCell ref="BC112:BC113"/>
    <mergeCell ref="BD112:BD113"/>
    <mergeCell ref="AH98:AH99"/>
    <mergeCell ref="J97:J100"/>
    <mergeCell ref="Q97:Q100"/>
    <mergeCell ref="V97:AB97"/>
    <mergeCell ref="AC97:BE97"/>
    <mergeCell ref="K98:K99"/>
    <mergeCell ref="Y98:Y99"/>
    <mergeCell ref="AI98:AI99"/>
    <mergeCell ref="AM98:AM99"/>
    <mergeCell ref="AN98:AN99"/>
    <mergeCell ref="AO98:AO99"/>
    <mergeCell ref="AP98:AP99"/>
    <mergeCell ref="AT98:AT99"/>
    <mergeCell ref="AU98:AU99"/>
    <mergeCell ref="AV98:AV99"/>
    <mergeCell ref="AW98:AW99"/>
    <mergeCell ref="BA98:BA99"/>
    <mergeCell ref="BB98:BB99"/>
    <mergeCell ref="BC98:BC99"/>
    <mergeCell ref="BD98:BD99"/>
    <mergeCell ref="AH86:AH87"/>
    <mergeCell ref="J85:J88"/>
    <mergeCell ref="Q85:Q88"/>
    <mergeCell ref="V85:AB85"/>
    <mergeCell ref="AC85:BE85"/>
    <mergeCell ref="K86:K87"/>
    <mergeCell ref="Y86:Y87"/>
    <mergeCell ref="AI86:AI87"/>
    <mergeCell ref="AM86:AM87"/>
    <mergeCell ref="AN86:AN87"/>
    <mergeCell ref="AO86:AO87"/>
    <mergeCell ref="AP86:AP87"/>
    <mergeCell ref="AT86:AT87"/>
    <mergeCell ref="AU86:AU87"/>
    <mergeCell ref="AV86:AV87"/>
    <mergeCell ref="AW86:AW87"/>
    <mergeCell ref="BA86:BA87"/>
    <mergeCell ref="BB86:BB87"/>
    <mergeCell ref="BC86:BC87"/>
    <mergeCell ref="BD86:BD87"/>
    <mergeCell ref="AH74:AH75"/>
    <mergeCell ref="J73:J76"/>
    <mergeCell ref="Q73:Q76"/>
    <mergeCell ref="V73:AB73"/>
    <mergeCell ref="AC73:BE73"/>
    <mergeCell ref="K74:K75"/>
    <mergeCell ref="Y74:Y75"/>
    <mergeCell ref="AI74:AI75"/>
    <mergeCell ref="AM74:AM75"/>
    <mergeCell ref="AN74:AN75"/>
    <mergeCell ref="AO74:AO75"/>
    <mergeCell ref="AP74:AP75"/>
    <mergeCell ref="AT74:AT75"/>
    <mergeCell ref="AU74:AU75"/>
    <mergeCell ref="AV74:AV75"/>
    <mergeCell ref="AW74:AW75"/>
    <mergeCell ref="BA74:BA75"/>
    <mergeCell ref="BB74:BB75"/>
    <mergeCell ref="BC74:BC75"/>
    <mergeCell ref="BD74:BD75"/>
    <mergeCell ref="BF50:BF51"/>
    <mergeCell ref="Z50:Z51"/>
    <mergeCell ref="AA50:AA51"/>
    <mergeCell ref="AB50:AB51"/>
    <mergeCell ref="AF50:AF51"/>
    <mergeCell ref="AG50:AG51"/>
    <mergeCell ref="AH50:AH51"/>
    <mergeCell ref="J49:J52"/>
    <mergeCell ref="Q49:Q52"/>
    <mergeCell ref="V49:AB49"/>
    <mergeCell ref="AC49:BE49"/>
    <mergeCell ref="K50:K51"/>
    <mergeCell ref="Y50:Y51"/>
    <mergeCell ref="AI50:AI51"/>
    <mergeCell ref="AM50:AM51"/>
    <mergeCell ref="AN50:AN51"/>
    <mergeCell ref="AO50:AO51"/>
    <mergeCell ref="AP50:AP51"/>
    <mergeCell ref="AT50:AT51"/>
    <mergeCell ref="AU50:AU51"/>
    <mergeCell ref="AV50:AV51"/>
    <mergeCell ref="AW50:AW51"/>
    <mergeCell ref="BA50:BA51"/>
    <mergeCell ref="BB50:BB51"/>
    <mergeCell ref="BC50:BC51"/>
    <mergeCell ref="BD50:BD51"/>
    <mergeCell ref="BF62:BF63"/>
    <mergeCell ref="Z62:Z63"/>
    <mergeCell ref="AA62:AA63"/>
    <mergeCell ref="AB62:AB63"/>
    <mergeCell ref="AF62:AF63"/>
    <mergeCell ref="AG62:AG63"/>
    <mergeCell ref="AH62:AH63"/>
    <mergeCell ref="J61:J64"/>
    <mergeCell ref="Q61:Q64"/>
    <mergeCell ref="V61:AB61"/>
    <mergeCell ref="AC61:BE61"/>
    <mergeCell ref="K62:K63"/>
    <mergeCell ref="Y62:Y63"/>
    <mergeCell ref="AI62:AI63"/>
    <mergeCell ref="AM62:AM63"/>
    <mergeCell ref="AN62:AN63"/>
    <mergeCell ref="AO62:AO63"/>
    <mergeCell ref="AP62:AP63"/>
    <mergeCell ref="AT62:AT63"/>
    <mergeCell ref="AU62:AU63"/>
    <mergeCell ref="AV62:AV63"/>
    <mergeCell ref="AW62:AW63"/>
    <mergeCell ref="BA62:BA63"/>
    <mergeCell ref="BB62:BB63"/>
    <mergeCell ref="BC62:BC63"/>
    <mergeCell ref="BD62:BD63"/>
    <mergeCell ref="BF120:BF121"/>
    <mergeCell ref="Z120:Z121"/>
    <mergeCell ref="AA120:AA121"/>
    <mergeCell ref="AB120:AB121"/>
    <mergeCell ref="AF120:AF121"/>
    <mergeCell ref="AG120:AG121"/>
    <mergeCell ref="AH120:AH121"/>
    <mergeCell ref="G117:G128"/>
    <mergeCell ref="V117:AB117"/>
    <mergeCell ref="AC117:BE117"/>
    <mergeCell ref="H118:H128"/>
    <mergeCell ref="I118:I127"/>
    <mergeCell ref="P118:P127"/>
    <mergeCell ref="V118:AB118"/>
    <mergeCell ref="AC118:BE118"/>
    <mergeCell ref="J119:J122"/>
    <mergeCell ref="Q119:Q122"/>
    <mergeCell ref="V119:AB119"/>
    <mergeCell ref="AC119:BE119"/>
    <mergeCell ref="K120:K121"/>
    <mergeCell ref="Y120:Y121"/>
    <mergeCell ref="AI120:AI121"/>
    <mergeCell ref="AM120:AM121"/>
    <mergeCell ref="AN120:AN121"/>
    <mergeCell ref="AO120:AO121"/>
    <mergeCell ref="AP120:AP121"/>
    <mergeCell ref="AT120:AT121"/>
    <mergeCell ref="AU120:AU121"/>
    <mergeCell ref="AV120:AV121"/>
    <mergeCell ref="AW120:AW121"/>
    <mergeCell ref="BA120:BA121"/>
    <mergeCell ref="BB120:BB121"/>
    <mergeCell ref="BA216:BA217"/>
    <mergeCell ref="BB216:BB217"/>
    <mergeCell ref="BC216:BC217"/>
    <mergeCell ref="BD216:BD217"/>
    <mergeCell ref="BA228:BA229"/>
    <mergeCell ref="BB228:BB229"/>
    <mergeCell ref="BC228:BC229"/>
    <mergeCell ref="BD228:BD229"/>
    <mergeCell ref="BA240:BA241"/>
    <mergeCell ref="BB240:BB241"/>
    <mergeCell ref="BC240:BC241"/>
    <mergeCell ref="BD240:BD241"/>
    <mergeCell ref="BA252:BA253"/>
    <mergeCell ref="BB252:BB253"/>
    <mergeCell ref="BC252:BC253"/>
    <mergeCell ref="BD252:BD253"/>
    <mergeCell ref="BA266:BA267"/>
    <mergeCell ref="BB266:BB267"/>
    <mergeCell ref="BC266:BC267"/>
    <mergeCell ref="BD266:BD267"/>
    <mergeCell ref="BA108:BA109"/>
    <mergeCell ref="BB108:BB109"/>
    <mergeCell ref="BC108:BC109"/>
    <mergeCell ref="BD108:BD109"/>
    <mergeCell ref="BA134:BA135"/>
    <mergeCell ref="BB134:BB135"/>
    <mergeCell ref="BC134:BC135"/>
    <mergeCell ref="BD134:BD135"/>
    <mergeCell ref="BA148:BA149"/>
    <mergeCell ref="BB148:BB149"/>
    <mergeCell ref="BC148:BC149"/>
    <mergeCell ref="BD148:BD149"/>
    <mergeCell ref="BA162:BA163"/>
    <mergeCell ref="BB162:BB163"/>
    <mergeCell ref="BC162:BC163"/>
    <mergeCell ref="BD162:BD163"/>
    <mergeCell ref="BA176:BA177"/>
    <mergeCell ref="BB176:BB177"/>
    <mergeCell ref="BC176:BC177"/>
    <mergeCell ref="BD176:BD177"/>
    <mergeCell ref="BC120:BC121"/>
    <mergeCell ref="BD120:BD121"/>
    <mergeCell ref="BA46:BA47"/>
    <mergeCell ref="BB46:BB47"/>
    <mergeCell ref="BC46:BC47"/>
    <mergeCell ref="BD46:BD47"/>
    <mergeCell ref="BA58:BA59"/>
    <mergeCell ref="BB58:BB59"/>
    <mergeCell ref="BC58:BC59"/>
    <mergeCell ref="BD58:BD59"/>
    <mergeCell ref="BA70:BA71"/>
    <mergeCell ref="BB70:BB71"/>
    <mergeCell ref="BC70:BC71"/>
    <mergeCell ref="BD70:BD71"/>
    <mergeCell ref="BA82:BA83"/>
    <mergeCell ref="BB82:BB83"/>
    <mergeCell ref="BC82:BC83"/>
    <mergeCell ref="BD82:BD83"/>
    <mergeCell ref="BA94:BA95"/>
    <mergeCell ref="BB94:BB95"/>
    <mergeCell ref="BC94:BC95"/>
    <mergeCell ref="BD94:BD95"/>
    <mergeCell ref="BB40:BC40"/>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AT216:AT217"/>
    <mergeCell ref="AU216:AU217"/>
    <mergeCell ref="AV216:AV217"/>
    <mergeCell ref="AW216:AW217"/>
    <mergeCell ref="AT228:AT229"/>
    <mergeCell ref="AU228:AU229"/>
    <mergeCell ref="AV228:AV229"/>
    <mergeCell ref="AW228:AW229"/>
    <mergeCell ref="AT240:AT241"/>
    <mergeCell ref="AU240:AU241"/>
    <mergeCell ref="AV240:AV241"/>
    <mergeCell ref="AW240:AW241"/>
    <mergeCell ref="AT252:AT253"/>
    <mergeCell ref="AU252:AU253"/>
    <mergeCell ref="AV252:AV253"/>
    <mergeCell ref="AW252:AW253"/>
    <mergeCell ref="AT266:AT267"/>
    <mergeCell ref="AU266:AU267"/>
    <mergeCell ref="AV266:AV267"/>
    <mergeCell ref="AW266:AW267"/>
    <mergeCell ref="AW108:AW109"/>
    <mergeCell ref="AT134:AT135"/>
    <mergeCell ref="AU134:AU135"/>
    <mergeCell ref="AV134:AV135"/>
    <mergeCell ref="AW134:AW135"/>
    <mergeCell ref="AT148:AT149"/>
    <mergeCell ref="AU148:AU149"/>
    <mergeCell ref="AV148:AV149"/>
    <mergeCell ref="AW148:AW149"/>
    <mergeCell ref="AT162:AT163"/>
    <mergeCell ref="AU162:AU163"/>
    <mergeCell ref="AV162:AV163"/>
    <mergeCell ref="AW162:AW163"/>
    <mergeCell ref="AT176:AT177"/>
    <mergeCell ref="AU176:AU177"/>
    <mergeCell ref="AV176:AV177"/>
    <mergeCell ref="AW176:AW177"/>
    <mergeCell ref="AU46:AU47"/>
    <mergeCell ref="AV46:AV47"/>
    <mergeCell ref="AW46:AW47"/>
    <mergeCell ref="AT58:AT59"/>
    <mergeCell ref="AU58:AU59"/>
    <mergeCell ref="AV58:AV59"/>
    <mergeCell ref="AW58:AW59"/>
    <mergeCell ref="AT70:AT71"/>
    <mergeCell ref="AU70:AU71"/>
    <mergeCell ref="AV70:AV71"/>
    <mergeCell ref="AW70:AW71"/>
    <mergeCell ref="AT82:AT83"/>
    <mergeCell ref="AU82:AU83"/>
    <mergeCell ref="AV82:AV83"/>
    <mergeCell ref="AW82:AW83"/>
    <mergeCell ref="AT94:AT95"/>
    <mergeCell ref="AU94:AU95"/>
    <mergeCell ref="AV94:AV95"/>
    <mergeCell ref="AW94:AW95"/>
    <mergeCell ref="AN252:AN253"/>
    <mergeCell ref="AO252:AO253"/>
    <mergeCell ref="AP252:AP253"/>
    <mergeCell ref="AM266:AM267"/>
    <mergeCell ref="AN266:AN267"/>
    <mergeCell ref="AO266:AO267"/>
    <mergeCell ref="AP266:AP267"/>
    <mergeCell ref="AM46:AM47"/>
    <mergeCell ref="AN46:AN47"/>
    <mergeCell ref="AO46:AO47"/>
    <mergeCell ref="AP46:AP47"/>
    <mergeCell ref="Y46:Y47"/>
    <mergeCell ref="Z46:Z47"/>
    <mergeCell ref="AA46:AA47"/>
    <mergeCell ref="AB46:AB47"/>
    <mergeCell ref="AU40:AV40"/>
    <mergeCell ref="AT7:AT8"/>
    <mergeCell ref="AU7:AU8"/>
    <mergeCell ref="AV7:AV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T46:AT47"/>
    <mergeCell ref="AM176:AM177"/>
    <mergeCell ref="AN176:AN177"/>
    <mergeCell ref="AO176:AO177"/>
    <mergeCell ref="AP176:AP177"/>
    <mergeCell ref="AM188:AM189"/>
    <mergeCell ref="AN188:AN189"/>
    <mergeCell ref="AO188:AO189"/>
    <mergeCell ref="AP188:AP189"/>
    <mergeCell ref="AM202:AM203"/>
    <mergeCell ref="AN202:AN203"/>
    <mergeCell ref="AO202:AO203"/>
    <mergeCell ref="AP202:AP203"/>
    <mergeCell ref="AM216:AM217"/>
    <mergeCell ref="AN216:AN217"/>
    <mergeCell ref="AO216:AO217"/>
    <mergeCell ref="AP216:AP217"/>
    <mergeCell ref="AM228:AM229"/>
    <mergeCell ref="AN228:AN229"/>
    <mergeCell ref="AO228:AO229"/>
    <mergeCell ref="AP228:AP229"/>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V239:AB239"/>
    <mergeCell ref="AC239:BE239"/>
    <mergeCell ref="K240:K241"/>
    <mergeCell ref="Y240:Y241"/>
    <mergeCell ref="AI240:AI241"/>
    <mergeCell ref="BF252:BF253"/>
    <mergeCell ref="Z252:Z253"/>
    <mergeCell ref="AA252:AA253"/>
    <mergeCell ref="AB252:AB253"/>
    <mergeCell ref="AF252:AF253"/>
    <mergeCell ref="AG252:AG253"/>
    <mergeCell ref="AH252:AH253"/>
    <mergeCell ref="G249:G260"/>
    <mergeCell ref="V249:AB249"/>
    <mergeCell ref="AC249:BE249"/>
    <mergeCell ref="H250:H260"/>
    <mergeCell ref="I250:I259"/>
    <mergeCell ref="P250:P259"/>
    <mergeCell ref="V250:AB250"/>
    <mergeCell ref="AC250:BE250"/>
    <mergeCell ref="J251:J254"/>
    <mergeCell ref="Q251:Q254"/>
    <mergeCell ref="V251:AB251"/>
    <mergeCell ref="AC251:BE251"/>
    <mergeCell ref="K252:K253"/>
    <mergeCell ref="Y252:Y253"/>
    <mergeCell ref="AI252:AI253"/>
    <mergeCell ref="AM240:AM241"/>
    <mergeCell ref="AN240:AN241"/>
    <mergeCell ref="AO240:AO241"/>
    <mergeCell ref="AP240:AP241"/>
    <mergeCell ref="AM252:AM253"/>
    <mergeCell ref="G225:G236"/>
    <mergeCell ref="V225:AB225"/>
    <mergeCell ref="AC225:BE225"/>
    <mergeCell ref="H226:H236"/>
    <mergeCell ref="I226:I235"/>
    <mergeCell ref="P226:P235"/>
    <mergeCell ref="V226:AB226"/>
    <mergeCell ref="AC226:BE226"/>
    <mergeCell ref="J227:J230"/>
    <mergeCell ref="Q227:Q230"/>
    <mergeCell ref="V227:AB227"/>
    <mergeCell ref="AC227:BE227"/>
    <mergeCell ref="K228:K229"/>
    <mergeCell ref="Y228:Y229"/>
    <mergeCell ref="AI228:AI229"/>
    <mergeCell ref="BF240:BF241"/>
    <mergeCell ref="Z240:Z241"/>
    <mergeCell ref="AA240:AA241"/>
    <mergeCell ref="AB240:AB241"/>
    <mergeCell ref="AF240:AF241"/>
    <mergeCell ref="AG240:AG241"/>
    <mergeCell ref="AH240:AH241"/>
    <mergeCell ref="G237:G248"/>
    <mergeCell ref="V237:AB237"/>
    <mergeCell ref="AC237:BE237"/>
    <mergeCell ref="H238:H248"/>
    <mergeCell ref="I238:I247"/>
    <mergeCell ref="P238:P247"/>
    <mergeCell ref="V238:AB238"/>
    <mergeCell ref="AC238:BE238"/>
    <mergeCell ref="J239:J242"/>
    <mergeCell ref="Q239:Q242"/>
    <mergeCell ref="BF266:BF267"/>
    <mergeCell ref="Z266:Z267"/>
    <mergeCell ref="AA266:AA267"/>
    <mergeCell ref="AB266:AB267"/>
    <mergeCell ref="AF266:AF267"/>
    <mergeCell ref="AG266:AG267"/>
    <mergeCell ref="AH266:AH267"/>
    <mergeCell ref="F262:F275"/>
    <mergeCell ref="V262:AB262"/>
    <mergeCell ref="AC262:BE262"/>
    <mergeCell ref="G263:G274"/>
    <mergeCell ref="V263:AB263"/>
    <mergeCell ref="AC263:BE263"/>
    <mergeCell ref="H264:H274"/>
    <mergeCell ref="I264:I273"/>
    <mergeCell ref="P264:P273"/>
    <mergeCell ref="V264:AB264"/>
    <mergeCell ref="AC264:BE264"/>
    <mergeCell ref="J265:J268"/>
    <mergeCell ref="Q265:Q268"/>
    <mergeCell ref="V265:AB265"/>
    <mergeCell ref="AC265:BE265"/>
    <mergeCell ref="K266:K267"/>
    <mergeCell ref="Y266:Y267"/>
    <mergeCell ref="AI266:AI267"/>
    <mergeCell ref="BF270:BF271"/>
    <mergeCell ref="Z270:Z271"/>
    <mergeCell ref="AA270:AA271"/>
    <mergeCell ref="AB270:AB271"/>
    <mergeCell ref="AF270:AF271"/>
    <mergeCell ref="AG270:AG271"/>
    <mergeCell ref="AH270:AH271"/>
    <mergeCell ref="BF216:BF217"/>
    <mergeCell ref="Z216:Z217"/>
    <mergeCell ref="AA216:AA217"/>
    <mergeCell ref="AB216:AB217"/>
    <mergeCell ref="AF216:AF217"/>
    <mergeCell ref="AG216:AG217"/>
    <mergeCell ref="AH216:AH217"/>
    <mergeCell ref="F212:F261"/>
    <mergeCell ref="V212:AB212"/>
    <mergeCell ref="AC212:BE212"/>
    <mergeCell ref="G213:G224"/>
    <mergeCell ref="V213:AB213"/>
    <mergeCell ref="AC213:BE213"/>
    <mergeCell ref="H214:H224"/>
    <mergeCell ref="I214:I223"/>
    <mergeCell ref="P214:P223"/>
    <mergeCell ref="V214:AB214"/>
    <mergeCell ref="AC214:BE214"/>
    <mergeCell ref="J215:J218"/>
    <mergeCell ref="Q215:Q218"/>
    <mergeCell ref="V215:AB215"/>
    <mergeCell ref="AC215:BE215"/>
    <mergeCell ref="K216:K217"/>
    <mergeCell ref="Y216:Y217"/>
    <mergeCell ref="AI216:AI217"/>
    <mergeCell ref="BF228:BF229"/>
    <mergeCell ref="Z228:Z229"/>
    <mergeCell ref="AA228:AA229"/>
    <mergeCell ref="AB228:AB229"/>
    <mergeCell ref="AF228:AF229"/>
    <mergeCell ref="AG228:AG229"/>
    <mergeCell ref="AH228:AH229"/>
    <mergeCell ref="F198:F211"/>
    <mergeCell ref="V198:AB198"/>
    <mergeCell ref="AC198:BE198"/>
    <mergeCell ref="G199:G210"/>
    <mergeCell ref="V199:AB199"/>
    <mergeCell ref="AC199:BE199"/>
    <mergeCell ref="H200:H210"/>
    <mergeCell ref="I200:I209"/>
    <mergeCell ref="P200:P209"/>
    <mergeCell ref="V200:AB200"/>
    <mergeCell ref="AC200:BE200"/>
    <mergeCell ref="J201:J204"/>
    <mergeCell ref="Q201:Q204"/>
    <mergeCell ref="V201:AB201"/>
    <mergeCell ref="AC201:BE201"/>
    <mergeCell ref="K202:K203"/>
    <mergeCell ref="Y202:Y203"/>
    <mergeCell ref="AI202:AI203"/>
    <mergeCell ref="AT202:AT203"/>
    <mergeCell ref="AU202:AU203"/>
    <mergeCell ref="AV202:AV203"/>
    <mergeCell ref="AW202:AW203"/>
    <mergeCell ref="BA202:BA203"/>
    <mergeCell ref="BB202:BB203"/>
    <mergeCell ref="BC202:BC203"/>
    <mergeCell ref="BD202:BD203"/>
    <mergeCell ref="G185:G196"/>
    <mergeCell ref="V185:AB185"/>
    <mergeCell ref="AC185:BE185"/>
    <mergeCell ref="H186:H196"/>
    <mergeCell ref="I186:I195"/>
    <mergeCell ref="P186:P195"/>
    <mergeCell ref="V186:AB186"/>
    <mergeCell ref="AC186:BE186"/>
    <mergeCell ref="J187:J190"/>
    <mergeCell ref="Q187:Q190"/>
    <mergeCell ref="V187:AB187"/>
    <mergeCell ref="AC187:BE187"/>
    <mergeCell ref="K188:K189"/>
    <mergeCell ref="Y188:Y189"/>
    <mergeCell ref="AI188:AI189"/>
    <mergeCell ref="BF202:BF203"/>
    <mergeCell ref="Z202:Z203"/>
    <mergeCell ref="AA202:AA203"/>
    <mergeCell ref="AB202:AB203"/>
    <mergeCell ref="AF202:AF203"/>
    <mergeCell ref="AG202:AG203"/>
    <mergeCell ref="AH202:AH203"/>
    <mergeCell ref="AT188:AT189"/>
    <mergeCell ref="AU188:AU189"/>
    <mergeCell ref="AV188:AV189"/>
    <mergeCell ref="AW188:AW189"/>
    <mergeCell ref="BA188:BA189"/>
    <mergeCell ref="BB188:BB189"/>
    <mergeCell ref="BC188:BC189"/>
    <mergeCell ref="BD188:BD189"/>
    <mergeCell ref="BF192:BF193"/>
    <mergeCell ref="Z192:Z193"/>
    <mergeCell ref="BF176:BF177"/>
    <mergeCell ref="Z176:Z177"/>
    <mergeCell ref="AA176:AA177"/>
    <mergeCell ref="AB176:AB177"/>
    <mergeCell ref="AF176:AF177"/>
    <mergeCell ref="AG176:AG177"/>
    <mergeCell ref="AH176:AH177"/>
    <mergeCell ref="F172:F197"/>
    <mergeCell ref="V172:AB172"/>
    <mergeCell ref="AC172:BE172"/>
    <mergeCell ref="G173:G184"/>
    <mergeCell ref="V173:AB173"/>
    <mergeCell ref="AC173:BE173"/>
    <mergeCell ref="H174:H184"/>
    <mergeCell ref="I174:I183"/>
    <mergeCell ref="P174:P183"/>
    <mergeCell ref="V174:AB174"/>
    <mergeCell ref="AC174:BE174"/>
    <mergeCell ref="J175:J178"/>
    <mergeCell ref="Q175:Q178"/>
    <mergeCell ref="V175:AB175"/>
    <mergeCell ref="AC175:BE175"/>
    <mergeCell ref="K176:K177"/>
    <mergeCell ref="Y176:Y177"/>
    <mergeCell ref="AI176:AI177"/>
    <mergeCell ref="BF188:BF189"/>
    <mergeCell ref="Z188:Z189"/>
    <mergeCell ref="AA188:AA189"/>
    <mergeCell ref="AB188:AB189"/>
    <mergeCell ref="AF188:AF189"/>
    <mergeCell ref="AG188:AG189"/>
    <mergeCell ref="AH188:AH189"/>
    <mergeCell ref="BF162:BF163"/>
    <mergeCell ref="Z162:Z163"/>
    <mergeCell ref="AA162:AA163"/>
    <mergeCell ref="AB162:AB163"/>
    <mergeCell ref="AF162:AF163"/>
    <mergeCell ref="AG162:AG163"/>
    <mergeCell ref="AH162:AH163"/>
    <mergeCell ref="F158:F171"/>
    <mergeCell ref="V158:AB158"/>
    <mergeCell ref="AC158:BE158"/>
    <mergeCell ref="G159:G170"/>
    <mergeCell ref="V159:AB159"/>
    <mergeCell ref="AC159:BE159"/>
    <mergeCell ref="H160:H170"/>
    <mergeCell ref="I160:I169"/>
    <mergeCell ref="P160:P169"/>
    <mergeCell ref="V160:AB160"/>
    <mergeCell ref="AC160:BE160"/>
    <mergeCell ref="J161:J164"/>
    <mergeCell ref="Q161:Q164"/>
    <mergeCell ref="V161:AB161"/>
    <mergeCell ref="AC161:BE161"/>
    <mergeCell ref="K162:K163"/>
    <mergeCell ref="Y162:Y163"/>
    <mergeCell ref="AI162:AI163"/>
    <mergeCell ref="AM162:AM163"/>
    <mergeCell ref="AN162:AN163"/>
    <mergeCell ref="AO162:AO163"/>
    <mergeCell ref="AP162:AP163"/>
    <mergeCell ref="BF166:BF167"/>
    <mergeCell ref="Z166:Z167"/>
    <mergeCell ref="AA166:AA167"/>
    <mergeCell ref="BF148:BF149"/>
    <mergeCell ref="Z148:Z149"/>
    <mergeCell ref="AA148:AA149"/>
    <mergeCell ref="AB148:AB149"/>
    <mergeCell ref="AF148:AF149"/>
    <mergeCell ref="AG148:AG149"/>
    <mergeCell ref="AH148:AH149"/>
    <mergeCell ref="F144:F157"/>
    <mergeCell ref="V144:AB144"/>
    <mergeCell ref="AC144:BE144"/>
    <mergeCell ref="G145:G156"/>
    <mergeCell ref="V145:AB145"/>
    <mergeCell ref="AC145:BE145"/>
    <mergeCell ref="H146:H156"/>
    <mergeCell ref="I146:I155"/>
    <mergeCell ref="P146:P155"/>
    <mergeCell ref="V146:AB146"/>
    <mergeCell ref="AC146:BE146"/>
    <mergeCell ref="J147:J150"/>
    <mergeCell ref="Q147:Q150"/>
    <mergeCell ref="V147:AB147"/>
    <mergeCell ref="AC147:BE147"/>
    <mergeCell ref="K148:K149"/>
    <mergeCell ref="Y148:Y149"/>
    <mergeCell ref="AI148:AI149"/>
    <mergeCell ref="AM148:AM149"/>
    <mergeCell ref="AN148:AN149"/>
    <mergeCell ref="AO148:AO149"/>
    <mergeCell ref="AP148:AP149"/>
    <mergeCell ref="BF152:BF153"/>
    <mergeCell ref="Z152:Z153"/>
    <mergeCell ref="AA152:AA153"/>
    <mergeCell ref="BF134:BF135"/>
    <mergeCell ref="Z134:Z135"/>
    <mergeCell ref="AA134:AA135"/>
    <mergeCell ref="AB134:AB135"/>
    <mergeCell ref="AF134:AF135"/>
    <mergeCell ref="AG134:AG135"/>
    <mergeCell ref="AH134:AH135"/>
    <mergeCell ref="F130:F143"/>
    <mergeCell ref="V130:AB130"/>
    <mergeCell ref="AC130:BE130"/>
    <mergeCell ref="G131:G142"/>
    <mergeCell ref="V131:AB131"/>
    <mergeCell ref="AC131:BE131"/>
    <mergeCell ref="H132:H142"/>
    <mergeCell ref="I132:I141"/>
    <mergeCell ref="P132:P141"/>
    <mergeCell ref="V132:AB132"/>
    <mergeCell ref="AC132:BE132"/>
    <mergeCell ref="J133:J136"/>
    <mergeCell ref="Q133:Q136"/>
    <mergeCell ref="V133:AB133"/>
    <mergeCell ref="AC133:BE133"/>
    <mergeCell ref="K134:K135"/>
    <mergeCell ref="Y134:Y135"/>
    <mergeCell ref="AI134:AI135"/>
    <mergeCell ref="AM134:AM135"/>
    <mergeCell ref="AN134:AN135"/>
    <mergeCell ref="AO134:AO135"/>
    <mergeCell ref="AP134:AP135"/>
    <mergeCell ref="BF138:BF139"/>
    <mergeCell ref="Z138:Z139"/>
    <mergeCell ref="AA138:AA139"/>
    <mergeCell ref="BF108:BF109"/>
    <mergeCell ref="Z108:Z109"/>
    <mergeCell ref="AA108:AA109"/>
    <mergeCell ref="AB108:AB109"/>
    <mergeCell ref="AF108:AF109"/>
    <mergeCell ref="AG108:AG109"/>
    <mergeCell ref="AH108:AH109"/>
    <mergeCell ref="F104:F129"/>
    <mergeCell ref="V104:AB104"/>
    <mergeCell ref="AC104:BE104"/>
    <mergeCell ref="G105:G116"/>
    <mergeCell ref="V105:AB105"/>
    <mergeCell ref="AC105:BE105"/>
    <mergeCell ref="H106:H116"/>
    <mergeCell ref="I106:I115"/>
    <mergeCell ref="P106:P115"/>
    <mergeCell ref="V106:AB106"/>
    <mergeCell ref="AC106:BE106"/>
    <mergeCell ref="J107:J110"/>
    <mergeCell ref="Q107:Q110"/>
    <mergeCell ref="V107:AB107"/>
    <mergeCell ref="AC107:BE107"/>
    <mergeCell ref="K108:K109"/>
    <mergeCell ref="Y108:Y109"/>
    <mergeCell ref="AI108:AI109"/>
    <mergeCell ref="AM108:AM109"/>
    <mergeCell ref="AN108:AN109"/>
    <mergeCell ref="AO108:AO109"/>
    <mergeCell ref="AP108:AP109"/>
    <mergeCell ref="AT108:AT109"/>
    <mergeCell ref="AU108:AU109"/>
    <mergeCell ref="AV108:AV109"/>
    <mergeCell ref="BF94:BF95"/>
    <mergeCell ref="Z94:Z95"/>
    <mergeCell ref="AA94:AA95"/>
    <mergeCell ref="AB94:AB95"/>
    <mergeCell ref="AF94:AF95"/>
    <mergeCell ref="AG94:AG95"/>
    <mergeCell ref="AH94:AH95"/>
    <mergeCell ref="G91:G102"/>
    <mergeCell ref="V91:AB91"/>
    <mergeCell ref="AC91:BE91"/>
    <mergeCell ref="H92:H102"/>
    <mergeCell ref="I92:I101"/>
    <mergeCell ref="P92:P101"/>
    <mergeCell ref="V92:AB92"/>
    <mergeCell ref="AC92:BE92"/>
    <mergeCell ref="J93:J96"/>
    <mergeCell ref="Q93:Q96"/>
    <mergeCell ref="V93:AB93"/>
    <mergeCell ref="AC93:BE93"/>
    <mergeCell ref="K94:K95"/>
    <mergeCell ref="Y94:Y95"/>
    <mergeCell ref="AI94:AI95"/>
    <mergeCell ref="AM94:AM95"/>
    <mergeCell ref="AN94:AN95"/>
    <mergeCell ref="AO94:AO95"/>
    <mergeCell ref="AP94:AP95"/>
    <mergeCell ref="BF98:BF99"/>
    <mergeCell ref="Z98:Z99"/>
    <mergeCell ref="AA98:AA99"/>
    <mergeCell ref="AB98:AB99"/>
    <mergeCell ref="AF98:AF99"/>
    <mergeCell ref="AG98:AG99"/>
    <mergeCell ref="BF82:BF83"/>
    <mergeCell ref="Z82:Z83"/>
    <mergeCell ref="AA82:AA83"/>
    <mergeCell ref="AB82:AB83"/>
    <mergeCell ref="AF82:AF83"/>
    <mergeCell ref="AG82:AG83"/>
    <mergeCell ref="AH82:AH83"/>
    <mergeCell ref="G79:G90"/>
    <mergeCell ref="V79:AB79"/>
    <mergeCell ref="AC79:BE79"/>
    <mergeCell ref="H80:H90"/>
    <mergeCell ref="I80:I89"/>
    <mergeCell ref="P80:P89"/>
    <mergeCell ref="V80:AB80"/>
    <mergeCell ref="AC80:BE80"/>
    <mergeCell ref="J81:J84"/>
    <mergeCell ref="Q81:Q84"/>
    <mergeCell ref="V81:AB81"/>
    <mergeCell ref="AC81:BE81"/>
    <mergeCell ref="K82:K83"/>
    <mergeCell ref="Y82:Y83"/>
    <mergeCell ref="AI82:AI83"/>
    <mergeCell ref="AM82:AM83"/>
    <mergeCell ref="AN82:AN83"/>
    <mergeCell ref="AO82:AO83"/>
    <mergeCell ref="AP82:AP83"/>
    <mergeCell ref="BF86:BF87"/>
    <mergeCell ref="Z86:Z87"/>
    <mergeCell ref="AA86:AA87"/>
    <mergeCell ref="AB86:AB87"/>
    <mergeCell ref="AF86:AF87"/>
    <mergeCell ref="AG86:AG87"/>
    <mergeCell ref="BF70:BF71"/>
    <mergeCell ref="Z70:Z71"/>
    <mergeCell ref="AA70:AA71"/>
    <mergeCell ref="AB70:AB71"/>
    <mergeCell ref="AF70:AF71"/>
    <mergeCell ref="AG70:AG71"/>
    <mergeCell ref="AH70:AH71"/>
    <mergeCell ref="G67:G78"/>
    <mergeCell ref="V67:AB67"/>
    <mergeCell ref="AC67:BE67"/>
    <mergeCell ref="H68:H78"/>
    <mergeCell ref="I68:I77"/>
    <mergeCell ref="P68:P77"/>
    <mergeCell ref="V68:AB68"/>
    <mergeCell ref="AC68:BE68"/>
    <mergeCell ref="J69:J72"/>
    <mergeCell ref="Q69:Q72"/>
    <mergeCell ref="V69:AB69"/>
    <mergeCell ref="AC69:BE69"/>
    <mergeCell ref="K70:K71"/>
    <mergeCell ref="Y70:Y71"/>
    <mergeCell ref="AI70:AI71"/>
    <mergeCell ref="AM70:AM71"/>
    <mergeCell ref="AN70:AN71"/>
    <mergeCell ref="AO70:AO71"/>
    <mergeCell ref="AP70:AP71"/>
    <mergeCell ref="BF74:BF75"/>
    <mergeCell ref="Z74:Z75"/>
    <mergeCell ref="AA74:AA75"/>
    <mergeCell ref="AB74:AB75"/>
    <mergeCell ref="AF74:AF75"/>
    <mergeCell ref="AG74:AG75"/>
    <mergeCell ref="AF58:AF59"/>
    <mergeCell ref="AG58:AG59"/>
    <mergeCell ref="AH58:AH59"/>
    <mergeCell ref="G55:G66"/>
    <mergeCell ref="V55:AB55"/>
    <mergeCell ref="AC55:BE55"/>
    <mergeCell ref="H56:H66"/>
    <mergeCell ref="I56:I65"/>
    <mergeCell ref="P56:P65"/>
    <mergeCell ref="V56:AB56"/>
    <mergeCell ref="AC56:BE56"/>
    <mergeCell ref="J57:J60"/>
    <mergeCell ref="Q57:Q60"/>
    <mergeCell ref="V57:AB57"/>
    <mergeCell ref="AC57:BE57"/>
    <mergeCell ref="K58:K59"/>
    <mergeCell ref="Y58:Y59"/>
    <mergeCell ref="AI58:AI59"/>
    <mergeCell ref="AM58:AM59"/>
    <mergeCell ref="AN58:AN59"/>
    <mergeCell ref="AO58:AO59"/>
    <mergeCell ref="AP58:AP59"/>
    <mergeCell ref="E2:E13"/>
    <mergeCell ref="V2:AB2"/>
    <mergeCell ref="AC2:BE2"/>
    <mergeCell ref="F3:F12"/>
    <mergeCell ref="V3:AB3"/>
    <mergeCell ref="AC3:BE3"/>
    <mergeCell ref="G4:G11"/>
    <mergeCell ref="V4:AB4"/>
    <mergeCell ref="AC4:BE4"/>
    <mergeCell ref="H5:H11"/>
    <mergeCell ref="I5:I10"/>
    <mergeCell ref="P5:P10"/>
    <mergeCell ref="V5:AB5"/>
    <mergeCell ref="AC5:BE5"/>
    <mergeCell ref="J6:J9"/>
    <mergeCell ref="Q6:Q9"/>
    <mergeCell ref="V6:AB6"/>
    <mergeCell ref="AC6:BE6"/>
    <mergeCell ref="K7:K8"/>
    <mergeCell ref="Y7:Y8"/>
    <mergeCell ref="AI7:AI8"/>
    <mergeCell ref="AW7:AW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BF7:BF8"/>
    <mergeCell ref="AF15:AF16"/>
    <mergeCell ref="AG15:AG16"/>
    <mergeCell ref="AH15:AH16"/>
    <mergeCell ref="AI15:AI16"/>
    <mergeCell ref="Z7:Z8"/>
    <mergeCell ref="AA7:AA8"/>
    <mergeCell ref="AB7:AB8"/>
    <mergeCell ref="AF7:AF8"/>
    <mergeCell ref="AG7:AG8"/>
    <mergeCell ref="AH7:AH8"/>
    <mergeCell ref="BF36:BF39"/>
    <mergeCell ref="S37:S39"/>
    <mergeCell ref="T37:T39"/>
    <mergeCell ref="V37:AA37"/>
    <mergeCell ref="AB37:AB39"/>
    <mergeCell ref="AC37:AH37"/>
    <mergeCell ref="AI37:AI39"/>
    <mergeCell ref="S32:T32"/>
    <mergeCell ref="V32:AA32"/>
    <mergeCell ref="AC32:AH32"/>
    <mergeCell ref="S33:T33"/>
    <mergeCell ref="V33:AA33"/>
    <mergeCell ref="AC33:AH33"/>
    <mergeCell ref="BE37:BE39"/>
    <mergeCell ref="W38:X38"/>
    <mergeCell ref="Y38:AA38"/>
    <mergeCell ref="AD38:AE38"/>
    <mergeCell ref="AF38:AH38"/>
    <mergeCell ref="Z39:AA39"/>
    <mergeCell ref="AG39:AH39"/>
    <mergeCell ref="V35:AB35"/>
    <mergeCell ref="AC35:AI35"/>
    <mergeCell ref="S36:BE36"/>
    <mergeCell ref="BF46:BF47"/>
    <mergeCell ref="T279:BF279"/>
    <mergeCell ref="T281:BF281"/>
    <mergeCell ref="K46:K47"/>
    <mergeCell ref="AF46:AF47"/>
    <mergeCell ref="Z40:AA40"/>
    <mergeCell ref="AG40:AH40"/>
    <mergeCell ref="E41:E276"/>
    <mergeCell ref="V41:AB41"/>
    <mergeCell ref="AC41:BE41"/>
    <mergeCell ref="F42:F103"/>
    <mergeCell ref="V42:AB42"/>
    <mergeCell ref="AC42:BE42"/>
    <mergeCell ref="G43:G54"/>
    <mergeCell ref="V43:AB43"/>
    <mergeCell ref="AC43:BE43"/>
    <mergeCell ref="H44:H54"/>
    <mergeCell ref="I44:I53"/>
    <mergeCell ref="P44:P53"/>
    <mergeCell ref="V44:AB44"/>
    <mergeCell ref="AC44:BE44"/>
    <mergeCell ref="J45:J48"/>
    <mergeCell ref="Q45:Q48"/>
    <mergeCell ref="V45:AB45"/>
    <mergeCell ref="AC45:BE45"/>
    <mergeCell ref="AG46:AG47"/>
    <mergeCell ref="AH46:AH47"/>
    <mergeCell ref="AI46:AI47"/>
    <mergeCell ref="BF58:BF59"/>
    <mergeCell ref="Z58:Z59"/>
    <mergeCell ref="AA58:AA59"/>
    <mergeCell ref="AB58:AB59"/>
  </mergeCells>
  <dataValidations count="8">
    <dataValidation allowBlank="1" promptTitle="checkPeriodRange" sqref="X65803 X131339 X196875 X262411 X327947 X393483 X459019 X524555 X590091 X655627 X721163 X786699 X852235 X917771 X983307 AE16 AE65803 AE131339 AE196875 AE262411 AE327947 AE393483 AE459019 AE524555 AE590091 AE655627 AE721163 AE786699 AE852235 AE917771 AE983307 AE47 AE8 X8 X47 X59 AE59 X71 AE71 X83 AE83 X95 AE95 X109 AE109 X135 AE135 X149 AE149 X163 AE163 X177 AE177 X189 AE189 X203 AE203 X217 AE217 X267 AE267 X229 AE229 X241 AE241 X253 AE253 AL8 AL47 AL59 AL71 AL83 AL95 AL109 AL135 AL149 AL163 AL177 AL189 AL203 AL217 AL229 AL241 AL253 AL267 AS8 AS47 AS59 AS71 AS83 AS95 AS109 AS135 AS149 AS163 AS177 AS189 AS203 AS217 AS229 AS241 AS253 AS267 AZ8 AZ47 AZ59 AZ71 AZ83 AZ95 AZ109 AZ135 AZ149 AZ163 AZ177 AZ189 AZ203 AZ217 AZ229 AZ241 AZ253 AZ267 X121 AE121 AL121 AS121 AZ121 X63 AE63 AL63 AS63 AZ63 X51 AE51 AL51 AS51 AZ51 X75 AE75 AL75 AS75 AZ75 X87 AE87 AL87 AS87 AZ87 X99 AE99 AL99 AS99 AZ99 X113 AE113 AL113 AS113 AZ113 X125 AE125 AL125 AS125 AZ125 X139 AE139 AL139 AS139 AZ139 X153 AE153 AL153 AS153 AZ153 X167 AE167 AL167 AS167 AZ167 X181 AE181 AL181 AS181 AZ181 X193 AE193 AL193 AS193 AZ193 X207 AE207 AL207 AS207 AZ207 X221 AE221 AL221 AS221 AZ221 X233 AE233 AL233 AS233 AZ233 X245 AE245 AL245 AS245 AZ245 X257 AE257 AL257 AS257 AZ257 X271 AE271 AL271 AS271 AZ271"/>
    <dataValidation type="list" allowBlank="1" showInputMessage="1" showErrorMessage="1" errorTitle="Ошибка" error="Выберите значение из списка" sqref="V983304 V65800 V131336 V196872 V262408 V327944 V393480 V459016 V524552 V590088 V655624 V721160 V786696 V852232 V917768 AC983304 AC65800 AC131336 AC196872 AC262408 AC327944 AC393480 AC459016 AC524552 AC590088 AC655624 AC721160 AC786696 AC852232 AC917768">
      <formula1>kind_of_scheme_in</formula1>
    </dataValidation>
    <dataValidation type="textLength" operator="lessThanOrEqual" allowBlank="1" showInputMessage="1" showErrorMessage="1" errorTitle="Ошибка" error="Допускается ввод не более 900 символов!" sqref="BF65796:BF65803 BF131332:BF131339 BF196868:BF196875 BF262404:BF262411 BF327940:BF327947 BF393476:BF393483 BF459012:BF459019 BF524548:BF524555 BF590084:BF590091 BF655620:BF655627 BF721156:BF721163 BF786692:BF786699 BF852228:BF852235 BF917764:BF917771 BF983300:BF983307 T46 T7 AC5:AI5 BE5 AC44:AI44 BE44 AC56 AD56 AE56 AF56 AG56 AH56 AI56 BE56 T58 AC68 AD68 AE68 AF68 AG68 AH68 AI68 BE68 T70 AC80 AD80 AE80 AF80 AG80 AH80 AI80 BE80 T82 AC92 AD92 AE92 AF92 AG92 AH92 AI92 BE92 T94 AC106 AD106 AE106 AF106 AG106 AH106 AI106 BE106 T108 AC132 AD132 AE132 AF132 AG132 AH132 AI132 BE132 T134 AC146 AD146 AE146 AF146 AG146 AH146 AI146 BE146 T148 AC160 AD160 AE160 AF160 AG160 AH160 AI160 BE160 T162 AC174 AD174 AE174 AF174 AG174 AH174 AI174 BE174 T176 AC186 AD186 AE186 AF186 AG186 AH186 AI186 BE186 T188 AC200 AD200 AE200 AF200 AG200 AH200 AI200 BE200 T202 AC214 AD214 AE214 AF214 AG214 AH214 AI214 BE214 T216 AC264 AD264 AE264 AF264 AG264 AH264 AI264 BE264 T266 AC226 AD226 AE226 AF226 AG226 AH226 AI226 BE226 T228 AC238 AD238 AE238 AF238 AG238 AH238 AI238 BE238 T240 AC250 AD250 AE250 AF250 AG250 AH250 AI250 BE250 T252 AC118 AD118 AE118 AF118 AG118 AH118 AI118 BE118 T120 T62 T50 T74 T86 T98 T112 T124 T138 T152 T166 T180 T192 T206 T220 T232 T244 T256 T270">
      <formula1>900</formula1>
    </dataValidation>
    <dataValidation type="list" allowBlank="1" showInputMessage="1" showErrorMessage="1" errorTitle="Ошибка" error="Выберите значение из списка" sqref="T65802 T131338 T196874 T262410 T327946 T393482 T459018 T524554 T590090 T655626 T721162 T786698 T852234 T917770 T98330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802 Y131338 Y196874 Y262410 Y327946 Y393482 Y459018 Y524554 Y590090 Y655626 Y721162 Y786698 Y852234 Y917770 Y983306 AA65802 AA131338 AA196874 AA262410 AA327946 AA393482 AA459018 AA524554 AA590090 AA655626 AA721162 AA786698 AA852234 AA917770 AA983306 AF15 AF65802 AF131338 AF196874 AF262410 AF327946 AF393482 AF459018 AF524554 AF590090 AF655626 AF721162 AF786698 AF852234 AF917770 AF983306 AH65802 AH131338 AH196874 AH262410 AH327946 AH393482 AH459018 AH524554 AH590090 AH655626 AH721162 AH786698 AH852234 AH917770 AH983306 AH46 AF46 AH15 AH7 AF7 Y7 AA7 Y46 AA46 Y58 AA58 AF58 AH58 Y70 AA70 AF70 AH70 Y82 AA82 AF82 AH82 Y94 AA94 AF94 AH94 Y108 AA108 AF108 AH108 Y134 AA134 AF134 AH134 Y148 AA148 AF148 AH148 Y162 AA162 AF162 AH162 Y176 AA176 AF176 AH176 Y188 AA188 AF188 AH188 Y202 AA202 AF202 AH202 Y216 AA216 AF216 AH216 Y266 AA266 AF266 AH266 Y228 AA228 AF228 AH228 Y240 AA240 AF240 AH240 Y252 AA252 AF252 AH252 AM7 AO7 AM46 AO46 AM58 AO58 AM70 AO70 AM82 AO82 AM94 AO94 AM108 AO108 AM134 AO134 AM148 AO148 AM162 AO162 AM176 AO176 AM188 AO188 AM202 AO202 AM216 AO216 AM228 AO228 AM240 AO240 AM252 AO252 AM266 AO266 AT7 AV7 AT46 AV46 AT58 AV58 AT70 AV70 AT82 AV82 AT94 AV94 AT108 AV108 AT134 AV134 AT148 AV148 AT162 AV162 AT176 AV176 AT188 AV188 AT202 AV202 AT216 AV216 AT228 AV228 AT240 AV240 AT252 AV252 AT266 AV266 BA7 BC7 BA46 BC46 BA58 BC58 BA70 BC70 BA82 BC82 BA94 BC94 BA108 BC108 BA134 BC134 BA148 BC148 BA162 BC162 BA176 BC176 BA188 BC188 BA202 BC202 BA216 BC216 BA228 BC228 BA240 BC240 BA252 BC252 BA266 BC266 Y120 AA120 AF120 AH120 AM120 AO120 AT120 AV120 BA120 BC120 Y62 AA62 AF62 AH62 AM62 AO62 AT62 AV62 BA62 BC62 Y50 AA50 AF50 AH50 AM50 AO50 AT50 AV50 BA50 BC50 Y74 AA74 AF74 AH74 AM74 AO74 AT74 AV74 BA74 BC74 Y86 AA86 AF86 AH86 AM86 AO86 AT86 AV86 BA86 BC86 Y98 AA98 AF98 AH98 AM98 AO98 AT98 AV98 BA98 BC98 Y112 AA112 AF112 AH112 AM112 AO112 AT112 AV112 BA112 BC112 Y124 AA124 AF124 AH124 AM124 AO124 AT124 AV124 BA124 BC124 Y138 AA138 AF138 AH138 AM138 AO138 AT138 AV138 BA138 BC138 Y152 AA152 AF152 AH152 AM152 AO152 AT152 AV152 BA152 BC152 Y166 AA166 AF166 AH166 AM166 AO166 AT166 AV166 BA166 BC166 Y180 AA180 AF180 AH180 AM180 AO180 AT180 AV180 BA180 BC180 Y192 AA192 AF192 AH192 AM192 AO192 AT192 AV192 BA192 BC192 Y206 AA206 AF206 AH206 AM206 AO206 AT206 AV206 BA206 BC206 Y220 AA220 AF220 AH220 AM220 AO220 AT220 AV220 BA220 BC220 Y232 AA232 AF232 AH232 AM232 AO232 AT232 AV232 BA232 BC232 Y244 AA244 AF244 AH244 AM244 AO244 AT244 AV244 BA244 BC244 Y256 AA256 AF256 AH256 AM256 AO256 AT256 AV256 BA256 BC256 Y270 AA270 AF270 AH270 AM270 AO270 AT270 AV270 BA270 BC270"/>
    <dataValidation allowBlank="1" showInputMessage="1" showErrorMessage="1" prompt="Для выбора выполните двойной щелчок левой клавиши мыши по соответствующей ячейке." sqref="Z65802 Z131338 Z196874 Z262410 Z327946 Z393482 Z459018 Z524554 Z590090 Z655626 Z721162 Z786698 Z852234 Z917770 Z983306 AB131338 AB459018 AB196874 AB262410 AB327946 AB393482 AB524554 AB590090 AB655626 AB721162 AB786698 AB852234 AB917770 AB983306 AB65802 AG65802 AG131338 AG196874 AG262410 AG327946 AG393482 AG459018 AG524554 AG590090 AG655626 AG721162 AG786698 AG852234 AG917770 AG983306 AI524554:BD524554 AI196874:BD196874 AI590090:BD590090 AI655626:BD655626 AI15 AI721162:BD721162 AI786698:BD786698 AI852234:BD852234 AI917770:BD917770 AI983306:BD983306 AI65802:BD65802 AI131338:BD131338 AI459018:BD459018 AI262410:BD262410 AI7 AN7 AP7 AU7 AW7 BB7 BD7 AG46 AI327946:BD327946 AG15 AG7 Z7 AB7 AI393482:BD393482 AI46 AN46 AP46 AU46 AW46 BB46 BD46 Z46 AB46 Z58 AB58 AG58 AI58 AN58 AP58 AU58 AW58 BB58 BD58 Z70 AB70 AG70 AI70 AN70 AP70 AU70 AW70 BB70 BD70 Z82 AB82 AG82 AI82 AN82 AP82 AU82 AW82 BB82 BD82 Z94 AB94 AG94 AI94 AN94 AP94 AU94 AW94 BB94 BD94 Z108 AB108 AG108 AI108 AN108 AP108 AU108 AW108 BB108 BD108 Z134 AB134 AG134 AI134 AN134 AP134 AU134 AW134 BB134 BD134 Z148 AB148 AG148 AI148 AN148 AP148 AU148 AW148 BB148 BD148 Z162 AB162 AG162 AI162 AN162 AP162 AU162 AW162 BB162 BD162 Z176 AB176 AG176 AI176 AN176 AP176 AU176 AW176 BB176 BD176 Z188 AB188 AG188 AI188 AN188 AP188 AU188 AW188 BB188 BD188 Z202 AB202 AG202 AI202 AN202 AP202 AU202 AW202 BB202 BD202 Z216 AB216 AG216 AI216 AN216 AP216 AU216 AW216 BB216 BD216 Z266 AB266 AG266 AI266 AN266 AP266 AU266 AW266 BB266 BD266 Z228 AB228 AG228 AI228 AN228 AP228 AU228 AW228 BB228 BD228 Z240 AB240 AG240 AI240 AN240 AP240 AU240 AW240 BB240 BD240 Z252 AB252 AG252 AI252 AN252 AP252 AU252 AW252 BB252 BD252 Z120 AB120 AG120 AI120 AN120 AP120 AU120 AW120 BB120 BD120 Z62 AB62 AG62 AI62 AN62 AP62 AU62 AW62 BB62 BD62 Z50 AB50 AG50 AI50 AN50 AP50 AU50 AW50 BB50 BD50 Z74 AB74 AG74 AI74 AN74 AP74 AU74 AW74 BB74 BD74 Z86 AB86 AG86 AI86 AN86 AP86 AU86 AW86 BB86 BD86 Z98 AB98 AG98 AI98 AN98 AP98 AU98 AW98 BB98 BD98 Z112 AB112 AG112 AI112 AN112 AP112 AU112 AW112 BB112 BD112 Z124 AB124 AG124 AI124 AN124 AP124 AU124 AW124 BB124 BD124 Z138 AB138 AG138 AI138 AN138 AP138 AU138 AW138 BB138 BD138 Z152 AB152 AG152 AI152 AN152 AP152 AU152 AW152 BB152 BD152 Z166 AB166 AG166 AI166 AN166 AP166 AU166 AW166 BB166 BD166 Z180 AB180 AG180 AI180 AN180 AP180 AU180 AW180 BB180 BD180 Z192 AB192 AG192 AI192 AN192 AP192 AU192 AW192 BB192 BD192 Z206 AB206 AG206 AI206 AN206 AP206 AU206 AW206 BB206 BD206 Z220 AB220 AG220 AI220 AN220 AP220 AU220 AW220 BB220 BD220 Z232 AB232 AG232 AI232 AN232 AP232 AU232 AW232 BB232 BD232 Z244 AB244 AG244 AI244 AN244 AP244 AU244 AW244 BB244 BD244 Z256 AB256 AG256 AI256 AN256 AP256 AU256 AW256 BB256 BD256 Z270 AB270 AG270 AI270 AN270 AP270 AU270 AW270 BB270 BD270"/>
    <dataValidation allowBlank="1" sqref="S131340:BF131346 S196876:BF196882 S262412:BF262418 S327948:BF327954 S393484:BF393490 S459020:BF459026 S524556:BF524562 S590092:BF590098 S655628:BF655634 S721164:BF721170 S786700:BF786706 S852236:BF852242 S917772:BF917778 S983308:BF983314 S65804:BF65810"/>
    <dataValidation type="list" allowBlank="1" showInputMessage="1" errorTitle="Ошибка" error="Выберите значение из списка" prompt="Выберите значение из списка" sqref="V983305:BE983305 V65801:BE65801 V131337:BE131337 V196873:BE196873 V262409:BE262409 V327945:BE327945 V393481:BE393481 V459017:BE459017 V524553:BE524553 V590089:BE590089 V655625:BE655625 V721161:BE721161 V786697:BE786697 V852233:BE852233 V917769:BE917769">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4.140625" style="4274" hidden="1" customWidth="1"/>
    <col min="10" max="10" width="9.85546875" style="4274" hidden="1" customWidth="1"/>
    <col min="11" max="11" width="14.710937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5" style="4267" customWidth="1"/>
    <col min="21" max="21" width="0.140625" style="4267" customWidth="1"/>
    <col min="22" max="24" width="24.7109375" style="4267" hidden="1" customWidth="1"/>
    <col min="25" max="25" width="11.7109375" style="4267" hidden="1" customWidth="1"/>
    <col min="26" max="26" width="3.7109375" style="4267" hidden="1" customWidth="1"/>
    <col min="27" max="27" width="11.7109375" style="4267" hidden="1" customWidth="1"/>
    <col min="28" max="28" width="8.5703125" style="4267" hidden="1" customWidth="1"/>
    <col min="29" max="29" width="24.7109375" style="4267" customWidth="1"/>
    <col min="30" max="31" width="24" style="4267" customWidth="1"/>
    <col min="32" max="32" width="11" style="4267" customWidth="1"/>
    <col min="33" max="33" width="3.7109375" style="4267" customWidth="1"/>
    <col min="34" max="34" width="11" style="4267" customWidth="1"/>
    <col min="35" max="35" width="8.5703125" style="4267" hidden="1" customWidth="1"/>
    <col min="36" max="36" width="4" style="4267" customWidth="1"/>
    <col min="37" max="37" width="115" style="4267" customWidth="1"/>
    <col min="38" max="42" width="10" style="4275" customWidth="1"/>
    <col min="43" max="43" width="10.5703125" style="4267" hidden="1"/>
  </cols>
  <sheetData>
    <row r="1" spans="1:43" ht="22.5" hidden="1" customHeight="1">
      <c r="X1" s="265"/>
      <c r="Y1" s="265"/>
      <c r="AE1" s="265"/>
      <c r="AF1" s="265"/>
      <c r="AQ1" s="1076" t="s">
        <v>14</v>
      </c>
    </row>
    <row r="2" spans="1:43" ht="23.25" hidden="1" customHeight="1">
      <c r="A2" s="1284"/>
      <c r="B2" s="1284"/>
      <c r="C2" s="1284"/>
      <c r="D2" s="1284"/>
      <c r="E2" s="5469">
        <v>1</v>
      </c>
      <c r="F2" s="1284"/>
      <c r="G2" s="1284"/>
      <c r="H2" s="1284"/>
      <c r="I2" s="1284"/>
      <c r="J2" s="1284"/>
      <c r="K2" s="1284"/>
      <c r="L2" s="1285"/>
      <c r="M2" s="1286"/>
      <c r="N2" s="1286"/>
      <c r="O2" s="1286"/>
      <c r="P2" s="299"/>
      <c r="Q2" s="298"/>
      <c r="R2" s="293"/>
      <c r="S2" s="1414" t="e">
        <f>INDEX(PT_DIFFERENTIATION_NUM_NTAR,MATCH(A2,PT_DIFFERENTIATION_NTAR_ID,0))</f>
        <v>#N/A</v>
      </c>
      <c r="T2" s="236" t="s">
        <v>155</v>
      </c>
      <c r="U2" s="238"/>
      <c r="V2" s="5463"/>
      <c r="W2" s="5464"/>
      <c r="X2" s="5464"/>
      <c r="Y2" s="5464"/>
      <c r="Z2" s="5464"/>
      <c r="AA2" s="5464"/>
      <c r="AB2" s="5465"/>
      <c r="AC2" s="5463" t="e">
        <f>INDEX(PT_DIFFERENTIATION_NTAR,MATCH(A2,PT_DIFFERENTIATION_NTAR_ID,0))</f>
        <v>#N/A</v>
      </c>
      <c r="AD2" s="5464"/>
      <c r="AE2" s="5464"/>
      <c r="AF2" s="5464"/>
      <c r="AG2" s="5464"/>
      <c r="AH2" s="5464"/>
      <c r="AI2" s="5464"/>
      <c r="AJ2" s="5465"/>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76">
        <v>0</v>
      </c>
    </row>
    <row r="3" spans="1:43" ht="23.25" hidden="1" customHeight="1">
      <c r="A3" s="1284"/>
      <c r="B3" s="1284"/>
      <c r="C3" s="1284"/>
      <c r="D3" s="1284"/>
      <c r="E3" s="5470"/>
      <c r="F3" s="5469">
        <v>1</v>
      </c>
      <c r="G3" s="1284"/>
      <c r="H3" s="1284"/>
      <c r="I3" s="1284"/>
      <c r="J3" s="1284"/>
      <c r="K3" s="1284"/>
      <c r="L3" s="1285"/>
      <c r="M3" s="1286"/>
      <c r="N3" s="1286"/>
      <c r="O3" s="1286"/>
      <c r="P3" s="1408"/>
      <c r="Q3" s="290"/>
      <c r="R3" s="291"/>
      <c r="S3" s="1414" t="e">
        <f>INDEX(PT_DIFFERENTIATION_NUM_TER,MATCH(B3,PT_DIFFERENTIATION_TER_ID,0))</f>
        <v>#N/A</v>
      </c>
      <c r="T3" s="246" t="s">
        <v>490</v>
      </c>
      <c r="U3" s="238"/>
      <c r="V3" s="5463"/>
      <c r="W3" s="5464"/>
      <c r="X3" s="5464"/>
      <c r="Y3" s="5464"/>
      <c r="Z3" s="5464"/>
      <c r="AA3" s="5464"/>
      <c r="AB3" s="5465"/>
      <c r="AC3" s="5463" t="e">
        <f>INDEX(PT_DIFFERENTIATION_TER,MATCH(B3,PT_DIFFERENTIATION_TER_ID,0))</f>
        <v>#N/A</v>
      </c>
      <c r="AD3" s="5464"/>
      <c r="AE3" s="5464"/>
      <c r="AF3" s="5464"/>
      <c r="AG3" s="5464"/>
      <c r="AH3" s="5464"/>
      <c r="AI3" s="5464"/>
      <c r="AJ3" s="5465"/>
      <c r="AK3" s="1179" t="s">
        <v>491</v>
      </c>
      <c r="AM3" s="438"/>
      <c r="AN3" s="438" t="str">
        <f t="shared" si="0"/>
        <v>Территория действия тарифа</v>
      </c>
      <c r="AO3" s="438"/>
      <c r="AP3" s="438"/>
      <c r="AQ3" s="1076">
        <v>0</v>
      </c>
    </row>
    <row r="4" spans="1:43" ht="23.25" hidden="1" customHeight="1">
      <c r="A4" s="1284"/>
      <c r="B4" s="1284"/>
      <c r="C4" s="1284"/>
      <c r="D4" s="1284"/>
      <c r="E4" s="5470"/>
      <c r="F4" s="5470"/>
      <c r="G4" s="5469">
        <v>1</v>
      </c>
      <c r="H4" s="1284"/>
      <c r="I4" s="1284"/>
      <c r="J4" s="1284"/>
      <c r="K4" s="1284"/>
      <c r="L4" s="1285"/>
      <c r="M4" s="1286"/>
      <c r="N4" s="1286"/>
      <c r="O4" s="1286"/>
      <c r="P4" s="292"/>
      <c r="Q4" s="290"/>
      <c r="R4" s="291"/>
      <c r="S4" s="1414" t="e">
        <f>INDEX(PT_DIFFERENTIATION_NUM_CS,MATCH(C4,PT_DIFFERENTIATION_CS_ID,0))</f>
        <v>#N/A</v>
      </c>
      <c r="T4" s="247" t="s">
        <v>606</v>
      </c>
      <c r="U4" s="238"/>
      <c r="V4" s="5463"/>
      <c r="W4" s="5464"/>
      <c r="X4" s="5464"/>
      <c r="Y4" s="5464"/>
      <c r="Z4" s="5464"/>
      <c r="AA4" s="5464"/>
      <c r="AB4" s="5465"/>
      <c r="AC4" s="5463" t="e">
        <f>INDEX(PT_DIFFERENTIATION_CS,MATCH(C4,PT_DIFFERENTIATION_CS_ID,0))</f>
        <v>#N/A</v>
      </c>
      <c r="AD4" s="5464"/>
      <c r="AE4" s="5464"/>
      <c r="AF4" s="5464"/>
      <c r="AG4" s="5464"/>
      <c r="AH4" s="5464"/>
      <c r="AI4" s="5464"/>
      <c r="AJ4" s="5465"/>
      <c r="AK4" s="1179" t="s">
        <v>607</v>
      </c>
      <c r="AM4" s="438"/>
      <c r="AN4" s="438" t="str">
        <f t="shared" si="0"/>
        <v>Наименование централизованной системы водоотведения</v>
      </c>
      <c r="AO4" s="438"/>
      <c r="AP4" s="438"/>
      <c r="AQ4" s="1076">
        <v>0</v>
      </c>
    </row>
    <row r="5" spans="1:43" ht="23.25" hidden="1" customHeight="1">
      <c r="A5" s="1284"/>
      <c r="B5" s="1284"/>
      <c r="C5" s="1284"/>
      <c r="D5" s="1284"/>
      <c r="E5" s="5470"/>
      <c r="F5" s="5470"/>
      <c r="G5" s="5470"/>
      <c r="H5" s="5470"/>
      <c r="I5" s="5471" t="e">
        <f>S4&amp;".1"</f>
        <v>#N/A</v>
      </c>
      <c r="J5" s="1284"/>
      <c r="K5" s="1284"/>
      <c r="L5" s="1285"/>
      <c r="P5" s="5473">
        <v>1</v>
      </c>
      <c r="Q5" s="1402"/>
      <c r="R5" s="294"/>
      <c r="S5" s="1414" t="e">
        <f>$I5</f>
        <v>#N/A</v>
      </c>
      <c r="T5" s="223" t="s">
        <v>573</v>
      </c>
      <c r="U5" s="238"/>
      <c r="V5" s="5537"/>
      <c r="W5" s="5538"/>
      <c r="X5" s="5538"/>
      <c r="Y5" s="5538"/>
      <c r="Z5" s="5538"/>
      <c r="AA5" s="5538"/>
      <c r="AB5" s="5539"/>
      <c r="AC5" s="5540"/>
      <c r="AD5" s="5541"/>
      <c r="AE5" s="5541"/>
      <c r="AF5" s="5541"/>
      <c r="AG5" s="5541"/>
      <c r="AH5" s="5541"/>
      <c r="AI5" s="5541"/>
      <c r="AJ5" s="5542"/>
      <c r="AK5" s="1179" t="s">
        <v>574</v>
      </c>
      <c r="AM5" s="438"/>
      <c r="AN5" s="438" t="str">
        <f t="shared" si="0"/>
        <v>Наименование признака дифференциации</v>
      </c>
      <c r="AO5" s="438"/>
      <c r="AP5" s="438"/>
      <c r="AQ5" s="1076">
        <v>0</v>
      </c>
    </row>
    <row r="6" spans="1:43" ht="23.25" hidden="1" customHeight="1">
      <c r="A6" s="1284"/>
      <c r="B6" s="1284"/>
      <c r="C6" s="1284"/>
      <c r="D6" s="1284"/>
      <c r="E6" s="5470"/>
      <c r="F6" s="5470"/>
      <c r="G6" s="5470"/>
      <c r="H6" s="5470"/>
      <c r="I6" s="5472"/>
      <c r="J6" s="5471" t="e">
        <f>I5&amp;".1"</f>
        <v>#N/A</v>
      </c>
      <c r="K6" s="1284"/>
      <c r="L6" s="1285" t="s">
        <v>499</v>
      </c>
      <c r="P6" s="5473"/>
      <c r="Q6" s="5473">
        <v>1</v>
      </c>
      <c r="R6" s="295"/>
      <c r="S6" s="1414" t="e">
        <f>$J6</f>
        <v>#N/A</v>
      </c>
      <c r="T6" s="224" t="s">
        <v>500</v>
      </c>
      <c r="U6" s="238"/>
      <c r="V6" s="5457"/>
      <c r="W6" s="5458"/>
      <c r="X6" s="5458"/>
      <c r="Y6" s="5458"/>
      <c r="Z6" s="5458"/>
      <c r="AA6" s="5458"/>
      <c r="AB6" s="5459"/>
      <c r="AC6" s="5457"/>
      <c r="AD6" s="5458"/>
      <c r="AE6" s="5458"/>
      <c r="AF6" s="5458"/>
      <c r="AG6" s="5458"/>
      <c r="AH6" s="5458"/>
      <c r="AI6" s="5458"/>
      <c r="AJ6" s="5459"/>
      <c r="AK6" s="1228" t="s">
        <v>575</v>
      </c>
      <c r="AM6" s="438"/>
      <c r="AN6" s="438" t="str">
        <f t="shared" si="0"/>
        <v>Группа потребителей</v>
      </c>
      <c r="AO6" s="438"/>
      <c r="AP6" s="438"/>
      <c r="AQ6" s="1076">
        <v>0</v>
      </c>
    </row>
    <row r="7" spans="1:43" ht="23.25" hidden="1" customHeight="1">
      <c r="A7" s="1284"/>
      <c r="B7" s="1284"/>
      <c r="C7" s="1284"/>
      <c r="D7" s="1284"/>
      <c r="E7" s="5470"/>
      <c r="F7" s="5470"/>
      <c r="G7" s="5470"/>
      <c r="H7" s="5470"/>
      <c r="I7" s="5472"/>
      <c r="J7" s="5472"/>
      <c r="K7" s="5471" t="e">
        <f>J6&amp;".1"</f>
        <v>#N/A</v>
      </c>
      <c r="L7" s="1285"/>
      <c r="P7" s="5473"/>
      <c r="Q7" s="5473"/>
      <c r="R7" s="295">
        <v>1</v>
      </c>
      <c r="S7" s="1414" t="e">
        <f>$K7</f>
        <v>#N/A</v>
      </c>
      <c r="T7" s="1358"/>
      <c r="U7" s="238"/>
      <c r="V7" s="689"/>
      <c r="W7" s="689"/>
      <c r="X7" s="1178"/>
      <c r="Y7" s="5474"/>
      <c r="Z7" s="5338" t="s">
        <v>66</v>
      </c>
      <c r="AA7" s="5474"/>
      <c r="AB7" s="5338" t="s">
        <v>66</v>
      </c>
      <c r="AC7" s="689"/>
      <c r="AD7" s="689"/>
      <c r="AE7" s="1178"/>
      <c r="AF7" s="5474"/>
      <c r="AG7" s="5338" t="s">
        <v>66</v>
      </c>
      <c r="AH7" s="5476"/>
      <c r="AI7" s="5338" t="s">
        <v>66</v>
      </c>
      <c r="AJ7" s="1359"/>
      <c r="AK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76">
        <v>0</v>
      </c>
    </row>
    <row r="8" spans="1:43" ht="14.25" hidden="1" customHeight="1">
      <c r="A8" s="1284"/>
      <c r="B8" s="1284"/>
      <c r="C8" s="1284"/>
      <c r="D8" s="1284"/>
      <c r="E8" s="5470"/>
      <c r="F8" s="5470"/>
      <c r="G8" s="5470"/>
      <c r="H8" s="5470"/>
      <c r="I8" s="5472"/>
      <c r="J8" s="5472"/>
      <c r="K8" s="5471"/>
      <c r="L8" s="1285"/>
      <c r="P8" s="5473"/>
      <c r="Q8" s="5473"/>
      <c r="R8" s="295"/>
      <c r="S8" s="1411"/>
      <c r="T8" s="238"/>
      <c r="U8" s="238"/>
      <c r="V8" s="263"/>
      <c r="W8" s="263"/>
      <c r="X8" s="266" t="str">
        <f>Y7&amp;"-"&amp;AA7</f>
        <v>-</v>
      </c>
      <c r="Y8" s="5475"/>
      <c r="Z8" s="5338"/>
      <c r="AA8" s="5475"/>
      <c r="AB8" s="5338"/>
      <c r="AC8" s="263"/>
      <c r="AD8" s="263"/>
      <c r="AE8" s="266" t="str">
        <f>AF7&amp;"-"&amp;AH7</f>
        <v>-</v>
      </c>
      <c r="AF8" s="5475"/>
      <c r="AG8" s="5338"/>
      <c r="AH8" s="5477"/>
      <c r="AI8" s="5338"/>
      <c r="AJ8" s="1360"/>
      <c r="AK8" s="5543"/>
      <c r="AM8" s="438"/>
      <c r="AN8" s="438" t="str">
        <f t="shared" si="0"/>
        <v/>
      </c>
      <c r="AO8" s="438"/>
      <c r="AP8" s="438"/>
      <c r="AQ8" s="1076">
        <v>0</v>
      </c>
    </row>
    <row r="9" spans="1:43" ht="21" hidden="1" customHeight="1">
      <c r="A9" s="1284"/>
      <c r="B9" s="1284"/>
      <c r="C9" s="1284"/>
      <c r="D9" s="1284"/>
      <c r="E9" s="5470"/>
      <c r="F9" s="5470"/>
      <c r="G9" s="5470"/>
      <c r="H9" s="5470"/>
      <c r="I9" s="5472"/>
      <c r="J9" s="5471"/>
      <c r="K9" s="1284"/>
      <c r="L9" s="1285"/>
      <c r="P9" s="5473"/>
      <c r="Q9" s="5473"/>
      <c r="R9" s="294"/>
      <c r="S9" s="1199"/>
      <c r="T9" s="225" t="s">
        <v>576</v>
      </c>
      <c r="U9" s="305"/>
      <c r="V9" s="305"/>
      <c r="W9" s="305"/>
      <c r="X9" s="305"/>
      <c r="Y9" s="305"/>
      <c r="Z9" s="305"/>
      <c r="AA9" s="305"/>
      <c r="AB9" s="305"/>
      <c r="AC9" s="305"/>
      <c r="AD9" s="305"/>
      <c r="AE9" s="305"/>
      <c r="AF9" s="305"/>
      <c r="AG9" s="305"/>
      <c r="AH9" s="305"/>
      <c r="AI9" s="305"/>
      <c r="AJ9" s="305"/>
      <c r="AK9" s="1179" t="s">
        <v>577</v>
      </c>
      <c r="AM9" s="438"/>
      <c r="AN9" s="438" t="str">
        <f t="shared" si="0"/>
        <v>Добавить значение признака дифференциации</v>
      </c>
      <c r="AO9" s="438"/>
      <c r="AP9" s="438"/>
      <c r="AQ9" s="1076">
        <v>0</v>
      </c>
    </row>
    <row r="10" spans="1:43" ht="21" hidden="1" customHeight="1">
      <c r="A10" s="1284"/>
      <c r="B10" s="1284"/>
      <c r="C10" s="1284"/>
      <c r="D10" s="1284"/>
      <c r="E10" s="5470"/>
      <c r="F10" s="5470"/>
      <c r="G10" s="5470"/>
      <c r="H10" s="5470"/>
      <c r="I10" s="5471"/>
      <c r="J10" s="1284"/>
      <c r="K10" s="1284"/>
      <c r="L10" s="1285"/>
      <c r="P10" s="5473"/>
      <c r="Q10" s="1402"/>
      <c r="R10" s="294"/>
      <c r="S10" s="1199"/>
      <c r="T10" s="303" t="s">
        <v>505</v>
      </c>
      <c r="U10" s="305"/>
      <c r="V10" s="305"/>
      <c r="W10" s="305"/>
      <c r="X10" s="305"/>
      <c r="Y10" s="305"/>
      <c r="Z10" s="305"/>
      <c r="AA10" s="305"/>
      <c r="AB10" s="304"/>
      <c r="AC10" s="305"/>
      <c r="AD10" s="305"/>
      <c r="AE10" s="305"/>
      <c r="AF10" s="305"/>
      <c r="AG10" s="305"/>
      <c r="AH10" s="305"/>
      <c r="AI10" s="304"/>
      <c r="AJ10" s="305"/>
      <c r="AK10" s="1361"/>
      <c r="AM10" s="438"/>
      <c r="AN10" s="438" t="str">
        <f t="shared" si="0"/>
        <v>Добавить группу потребителей</v>
      </c>
      <c r="AO10" s="438"/>
      <c r="AP10" s="438"/>
      <c r="AQ10" s="1076">
        <v>0</v>
      </c>
    </row>
    <row r="11" spans="1:43" ht="21" hidden="1" customHeight="1">
      <c r="A11" s="1284"/>
      <c r="B11" s="1284"/>
      <c r="C11" s="1284"/>
      <c r="D11" s="1284"/>
      <c r="E11" s="5470"/>
      <c r="F11" s="5470"/>
      <c r="G11" s="5470"/>
      <c r="H11" s="5469"/>
      <c r="I11" s="1284"/>
      <c r="J11" s="1284"/>
      <c r="K11" s="1284"/>
      <c r="L11" s="1285"/>
      <c r="M11" s="1286"/>
      <c r="N11" s="1286"/>
      <c r="O11" s="475"/>
      <c r="P11" s="298"/>
      <c r="Q11" s="313"/>
      <c r="R11" s="293"/>
      <c r="S11" s="1199"/>
      <c r="T11" s="310" t="s">
        <v>578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76">
        <v>0</v>
      </c>
    </row>
    <row r="12" spans="1:43" s="4275" customFormat="1" ht="14.25" hidden="1" customHeight="1">
      <c r="A12" s="1264"/>
      <c r="B12" s="1264"/>
      <c r="C12" s="1235"/>
      <c r="D12" s="1235"/>
      <c r="E12" s="5470"/>
      <c r="F12" s="5469"/>
      <c r="G12" s="1235"/>
      <c r="H12" s="1235"/>
      <c r="I12" s="1235"/>
      <c r="J12" s="1235"/>
      <c r="K12" s="1235"/>
      <c r="L12" s="1415"/>
      <c r="M12" s="1242"/>
      <c r="N12" s="1242"/>
      <c r="P12" s="1237"/>
      <c r="Q12" s="1238"/>
      <c r="R12" s="1237"/>
      <c r="S12" s="1243"/>
      <c r="T12" s="1246" t="s">
        <v>312</v>
      </c>
      <c r="U12" s="1245"/>
      <c r="V12" s="1245"/>
      <c r="W12" s="1245"/>
      <c r="X12" s="1245"/>
      <c r="Y12" s="1245"/>
      <c r="Z12" s="1245"/>
      <c r="AA12" s="1245"/>
      <c r="AB12" s="1245"/>
      <c r="AC12" s="1245"/>
      <c r="AD12" s="1245"/>
      <c r="AE12" s="1245"/>
      <c r="AF12" s="1245"/>
      <c r="AG12" s="1245"/>
      <c r="AH12" s="1245"/>
      <c r="AI12" s="1245"/>
      <c r="AJ12" s="1245"/>
      <c r="AK12" s="1245"/>
      <c r="AM12" s="721"/>
      <c r="AN12" s="721" t="str">
        <f t="shared" si="0"/>
        <v>Добавить централизованную систему для дифференциации</v>
      </c>
      <c r="AO12" s="721"/>
      <c r="AP12" s="721"/>
      <c r="AQ12" s="456">
        <v>0</v>
      </c>
    </row>
    <row r="13" spans="1:43" s="4275" customFormat="1" ht="14.25" hidden="1" customHeight="1">
      <c r="A13" s="1264"/>
      <c r="B13" s="1264"/>
      <c r="C13" s="1264"/>
      <c r="D13" s="1264"/>
      <c r="E13" s="5469"/>
      <c r="F13" s="1264"/>
      <c r="G13" s="1264"/>
      <c r="H13" s="1264"/>
      <c r="I13" s="1264"/>
      <c r="J13" s="1264"/>
      <c r="K13" s="1264"/>
      <c r="L13" s="1267"/>
      <c r="M13" s="1242"/>
      <c r="N13" s="1242"/>
      <c r="O13" s="456"/>
      <c r="P13" s="318"/>
      <c r="Q13" s="1265"/>
      <c r="R13" s="318"/>
      <c r="S13" s="1243"/>
      <c r="T13" s="1246" t="s">
        <v>360</v>
      </c>
      <c r="U13" s="1245"/>
      <c r="V13" s="1245"/>
      <c r="W13" s="1245"/>
      <c r="X13" s="1245"/>
      <c r="Y13" s="1245"/>
      <c r="Z13" s="1245"/>
      <c r="AA13" s="1245"/>
      <c r="AB13" s="1245"/>
      <c r="AC13" s="1245"/>
      <c r="AD13" s="1245"/>
      <c r="AE13" s="1245"/>
      <c r="AF13" s="1245"/>
      <c r="AG13" s="1245"/>
      <c r="AH13" s="1245"/>
      <c r="AI13" s="1245"/>
      <c r="AJ13" s="1245"/>
      <c r="AK13" s="1245"/>
      <c r="AM13" s="438"/>
      <c r="AN13" s="438" t="str">
        <f t="shared" si="0"/>
        <v>Добавить территорию для дифференциации</v>
      </c>
      <c r="AO13" s="438"/>
      <c r="AP13" s="438"/>
      <c r="AQ13" s="449">
        <v>0</v>
      </c>
    </row>
    <row r="14" spans="1:43" ht="14.25" hidden="1" customHeight="1">
      <c r="AB14" s="265"/>
      <c r="AI14" s="265"/>
      <c r="AQ14" s="1076">
        <v>0</v>
      </c>
    </row>
    <row r="15" spans="1:43" ht="14.25" hidden="1" customHeight="1">
      <c r="AC15" s="1281"/>
      <c r="AD15" s="1281"/>
      <c r="AE15" s="1282"/>
      <c r="AF15" s="5467"/>
      <c r="AG15" s="5466" t="s">
        <v>66</v>
      </c>
      <c r="AH15" s="5467"/>
      <c r="AI15" s="5466" t="s">
        <v>66</v>
      </c>
      <c r="AQ15" s="1076">
        <v>0</v>
      </c>
    </row>
    <row r="16" spans="1:43" ht="14.25" hidden="1" customHeight="1">
      <c r="AC16" s="1281"/>
      <c r="AD16" s="1281"/>
      <c r="AE16" s="266" t="str">
        <f>AF15&amp;"-"&amp;AH15</f>
        <v>-</v>
      </c>
      <c r="AF16" s="5466"/>
      <c r="AG16" s="5466"/>
      <c r="AH16" s="5466"/>
      <c r="AI16" s="5466"/>
      <c r="AQ16" s="1076">
        <v>0</v>
      </c>
    </row>
    <row r="17" spans="1:43" ht="14.25" hidden="1" customHeight="1">
      <c r="AI17" s="265"/>
      <c r="AQ17" s="1076">
        <v>0</v>
      </c>
    </row>
    <row r="18" spans="1:43" s="4274" customFormat="1" ht="22.5" hidden="1" customHeight="1">
      <c r="L18" s="1399"/>
      <c r="M18" s="1283"/>
      <c r="N18" s="1283"/>
      <c r="O18" s="1288" t="s">
        <v>508</v>
      </c>
      <c r="P18" s="1283"/>
      <c r="Q18" s="1292"/>
      <c r="R18" s="1292"/>
      <c r="S18" s="667"/>
      <c r="Y18" s="1288"/>
      <c r="AA18" s="1288"/>
      <c r="AB18" s="1287"/>
      <c r="AF18" s="1288"/>
      <c r="AH18" s="1288"/>
      <c r="AI18" s="1287"/>
      <c r="AL18" s="449"/>
      <c r="AM18" s="449"/>
      <c r="AN18" s="449"/>
      <c r="AO18" s="449"/>
      <c r="AP18" s="449"/>
      <c r="AQ18" s="1081">
        <v>0</v>
      </c>
    </row>
    <row r="19" spans="1:43" s="4274" customFormat="1" ht="14.25" hidden="1" customHeight="1">
      <c r="L19" s="1399"/>
      <c r="M19" s="1283"/>
      <c r="N19" s="1283"/>
      <c r="O19" s="1283"/>
      <c r="P19" s="1283"/>
      <c r="Q19" s="1292"/>
      <c r="R19" s="1292"/>
      <c r="S19" s="667"/>
      <c r="AB19" s="1287"/>
      <c r="AI19" s="1287"/>
      <c r="AL19" s="449"/>
      <c r="AM19" s="449"/>
      <c r="AN19" s="449"/>
      <c r="AO19" s="449"/>
      <c r="AP19" s="449"/>
      <c r="AQ19" s="1081">
        <v>0</v>
      </c>
    </row>
    <row r="20" spans="1:43" s="4274" customFormat="1" ht="12" hidden="1" customHeight="1">
      <c r="L20" s="1399"/>
      <c r="M20" s="1283"/>
      <c r="N20" s="1283"/>
      <c r="O20" s="1285" t="s">
        <v>509</v>
      </c>
      <c r="P20" s="1283"/>
      <c r="Q20" s="1363"/>
      <c r="R20" s="1363"/>
      <c r="S20" s="667"/>
      <c r="T20" s="1081" t="s">
        <v>510</v>
      </c>
      <c r="Z20" s="124" t="s">
        <v>511</v>
      </c>
      <c r="AB20" s="124" t="s">
        <v>512</v>
      </c>
      <c r="AC20" s="1081" t="s">
        <v>510</v>
      </c>
      <c r="AG20" s="124" t="s">
        <v>513</v>
      </c>
      <c r="AI20" s="124" t="s">
        <v>512</v>
      </c>
      <c r="AQ20" s="1081">
        <v>0</v>
      </c>
    </row>
    <row r="21" spans="1:43" ht="14.25" hidden="1" customHeight="1">
      <c r="O21" s="1285"/>
      <c r="AQ21" s="1076">
        <v>0</v>
      </c>
    </row>
    <row r="22" spans="1:43" ht="14.25" hidden="1" customHeight="1">
      <c r="O22" s="1285"/>
      <c r="AQ22" s="1076">
        <v>0</v>
      </c>
    </row>
    <row r="23" spans="1:43" ht="14.65" customHeight="1">
      <c r="Q23" s="314"/>
      <c r="R23" s="314"/>
      <c r="S23" s="1196"/>
      <c r="T23" s="301"/>
      <c r="U23" s="301"/>
      <c r="V23" s="447"/>
      <c r="W23" s="447"/>
      <c r="X23" s="447"/>
      <c r="Y23" s="447"/>
      <c r="Z23" s="447"/>
      <c r="AA23" s="447"/>
      <c r="AB23" s="447"/>
      <c r="AC23" s="447"/>
      <c r="AD23" s="447"/>
      <c r="AE23" s="447"/>
      <c r="AF23" s="447"/>
      <c r="AG23" s="447"/>
      <c r="AH23" s="447"/>
      <c r="AI23" s="447"/>
      <c r="AQ23" s="1076">
        <v>14</v>
      </c>
    </row>
    <row r="24" spans="1:43" ht="14.65" customHeight="1">
      <c r="Q24" s="314"/>
      <c r="R24" s="314"/>
      <c r="S24" s="54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5450"/>
      <c r="U24" s="5450"/>
      <c r="V24" s="5450"/>
      <c r="W24" s="5450"/>
      <c r="X24" s="5450"/>
      <c r="Y24" s="5450"/>
      <c r="Z24" s="5450"/>
      <c r="AA24" s="5450"/>
      <c r="AB24" s="5450"/>
      <c r="AC24" s="5450"/>
      <c r="AD24" s="5450"/>
      <c r="AE24" s="5450"/>
      <c r="AF24" s="5450"/>
      <c r="AG24" s="5450"/>
      <c r="AH24" s="5450"/>
      <c r="AI24" s="1164"/>
      <c r="AQ24" s="1076">
        <v>14</v>
      </c>
    </row>
    <row r="25" spans="1:43" ht="14.65" customHeight="1">
      <c r="Q25" s="314"/>
      <c r="R25" s="314"/>
      <c r="S25" s="5423" t="str">
        <f>IF(org=0,"Не определено",org)</f>
        <v>КГУП "Примтеплоэнерго"</v>
      </c>
      <c r="T25" s="5423"/>
      <c r="U25" s="5423"/>
      <c r="V25" s="5423"/>
      <c r="W25" s="5423"/>
      <c r="X25" s="5423"/>
      <c r="Y25" s="5423"/>
      <c r="Z25" s="5423"/>
      <c r="AA25" s="5423"/>
      <c r="AB25" s="5423"/>
      <c r="AC25" s="5423"/>
      <c r="AD25" s="5423"/>
      <c r="AE25" s="5423"/>
      <c r="AF25" s="5423"/>
      <c r="AG25" s="5423"/>
      <c r="AH25" s="5423"/>
      <c r="AI25" s="1164"/>
      <c r="AQ25" s="1076">
        <v>14</v>
      </c>
    </row>
    <row r="26" spans="1:43" ht="14.25" hidden="1" customHeight="1">
      <c r="Q26" s="314"/>
      <c r="R26" s="314"/>
      <c r="S26" s="1196"/>
      <c r="T26" s="301"/>
      <c r="U26" s="301"/>
      <c r="V26" s="260"/>
      <c r="W26" s="260"/>
      <c r="X26" s="260"/>
      <c r="Y26" s="260"/>
      <c r="Z26" s="260"/>
      <c r="AA26" s="260"/>
      <c r="AB26" s="260"/>
      <c r="AC26" s="260"/>
      <c r="AD26" s="260"/>
      <c r="AE26" s="260"/>
      <c r="AF26" s="260"/>
      <c r="AG26" s="260"/>
      <c r="AH26" s="260"/>
      <c r="AI26" s="260"/>
      <c r="AJ26" s="447"/>
      <c r="AQ26" s="1076">
        <v>0</v>
      </c>
    </row>
    <row r="27" spans="1:43" s="4284" customFormat="1" ht="25.5" hidden="1" customHeight="1">
      <c r="A27" s="1289"/>
      <c r="B27" s="1289"/>
      <c r="C27" s="1289"/>
      <c r="D27" s="1289"/>
      <c r="E27" s="1289"/>
      <c r="F27" s="1289"/>
      <c r="G27" s="1289"/>
      <c r="H27" s="1289"/>
      <c r="I27" s="1289"/>
      <c r="J27" s="1289"/>
      <c r="K27" s="1289"/>
      <c r="L27" s="1290"/>
      <c r="M27" s="1289"/>
      <c r="N27" s="1289"/>
      <c r="O27" s="1289"/>
      <c r="S27" s="5460" t="s">
        <v>42</v>
      </c>
      <c r="T27" s="5460"/>
      <c r="U27" s="1293"/>
      <c r="V27" s="5462" t="str">
        <f>IF(TITLE_NAME_OR_PR_CHANGE="",IF(TITLE_NAME_OR_PR="","",TITLE_NAME_OR_PR),TITLE_NAME_OR_PR_CHANGE)</f>
        <v/>
      </c>
      <c r="W27" s="5462"/>
      <c r="X27" s="5462"/>
      <c r="Y27" s="5462"/>
      <c r="Z27" s="5462"/>
      <c r="AA27" s="5462"/>
      <c r="AB27" s="264"/>
      <c r="AC27" s="5462" t="str">
        <f>IF(TITLE_NAME_OR_PR_CHANGE="",IF(TITLE_NAME_OR_PR="","",TITLE_NAME_OR_PR),TITLE_NAME_OR_PR_CHANGE)</f>
        <v/>
      </c>
      <c r="AD27" s="5462"/>
      <c r="AE27" s="5462"/>
      <c r="AF27" s="5462"/>
      <c r="AG27" s="5462"/>
      <c r="AH27" s="5462"/>
      <c r="AI27" s="264"/>
      <c r="AJ27" s="264"/>
      <c r="AK27" s="218"/>
      <c r="AL27" s="306"/>
      <c r="AM27" s="306"/>
      <c r="AN27" s="306"/>
      <c r="AO27" s="306"/>
      <c r="AP27" s="306"/>
      <c r="AQ27" s="356">
        <v>0</v>
      </c>
    </row>
    <row r="28" spans="1:43" s="4284" customFormat="1" ht="18.75" hidden="1" customHeight="1">
      <c r="A28" s="1289"/>
      <c r="B28" s="1289"/>
      <c r="C28" s="1289"/>
      <c r="D28" s="1289"/>
      <c r="E28" s="1289"/>
      <c r="F28" s="1289"/>
      <c r="G28" s="1289"/>
      <c r="H28" s="1289"/>
      <c r="I28" s="1289"/>
      <c r="J28" s="1289"/>
      <c r="K28" s="1289"/>
      <c r="L28" s="1290"/>
      <c r="M28" s="1289"/>
      <c r="N28" s="1289"/>
      <c r="O28" s="1289"/>
      <c r="S28" s="5460" t="s">
        <v>514</v>
      </c>
      <c r="T28" s="5460"/>
      <c r="U28" s="1293"/>
      <c r="V28" s="5461">
        <f>IF(TITLE_DATE_PR_CHANGE="",IF(TITLE_DATE_PR="","",TITLE_DATE_PR),TITLE_DATE_PR_CHANGE)</f>
        <v>45649.605891203704</v>
      </c>
      <c r="W28" s="5461"/>
      <c r="X28" s="5461"/>
      <c r="Y28" s="5461"/>
      <c r="Z28" s="5461"/>
      <c r="AA28" s="5461"/>
      <c r="AB28" s="264"/>
      <c r="AC28" s="5461">
        <f>IF(TITLE_DATE_PR_CHANGE="",IF(TITLE_DATE_PR="","",TITLE_DATE_PR),TITLE_DATE_PR_CHANGE)</f>
        <v>45649.605891203704</v>
      </c>
      <c r="AD28" s="5461"/>
      <c r="AE28" s="5461"/>
      <c r="AF28" s="5461"/>
      <c r="AG28" s="5461"/>
      <c r="AH28" s="5461"/>
      <c r="AI28" s="264"/>
      <c r="AJ28" s="264"/>
      <c r="AK28" s="218"/>
      <c r="AL28" s="306"/>
      <c r="AM28" s="306"/>
      <c r="AN28" s="306"/>
      <c r="AO28" s="306"/>
      <c r="AP28" s="306"/>
      <c r="AQ28" s="356">
        <v>0</v>
      </c>
    </row>
    <row r="29" spans="1:43" s="4284" customFormat="1" ht="18.75" hidden="1" customHeight="1">
      <c r="A29" s="1289"/>
      <c r="B29" s="1289"/>
      <c r="C29" s="1289"/>
      <c r="D29" s="1289"/>
      <c r="E29" s="1289"/>
      <c r="F29" s="1289"/>
      <c r="G29" s="1289"/>
      <c r="H29" s="1289"/>
      <c r="I29" s="1289"/>
      <c r="J29" s="1289"/>
      <c r="K29" s="1289"/>
      <c r="L29" s="1290"/>
      <c r="M29" s="1289"/>
      <c r="N29" s="1289"/>
      <c r="O29" s="1289"/>
      <c r="S29" s="5460" t="s">
        <v>515</v>
      </c>
      <c r="T29" s="5460"/>
      <c r="U29" s="1293"/>
      <c r="V29" s="5462" t="str">
        <f>IF(TITLE_NUMBER_PR_CHANGE="",IF(TITLE_NUMBER_PR="","",TITLE_NUMBER_PR),TITLE_NUMBER_PR_CHANGE)</f>
        <v>27-6414</v>
      </c>
      <c r="W29" s="5462"/>
      <c r="X29" s="5462"/>
      <c r="Y29" s="5462"/>
      <c r="Z29" s="5462"/>
      <c r="AA29" s="5462"/>
      <c r="AB29" s="264"/>
      <c r="AC29" s="5462" t="str">
        <f>IF(TITLE_NUMBER_PR_CHANGE="",IF(TITLE_NUMBER_PR="","",TITLE_NUMBER_PR),TITLE_NUMBER_PR_CHANGE)</f>
        <v>27-6414</v>
      </c>
      <c r="AD29" s="5462"/>
      <c r="AE29" s="5462"/>
      <c r="AF29" s="5462"/>
      <c r="AG29" s="5462"/>
      <c r="AH29" s="5462"/>
      <c r="AI29" s="264"/>
      <c r="AJ29" s="264"/>
      <c r="AK29" s="218"/>
      <c r="AL29" s="306"/>
      <c r="AM29" s="306"/>
      <c r="AN29" s="306"/>
      <c r="AO29" s="306"/>
      <c r="AP29" s="306"/>
      <c r="AQ29" s="356">
        <v>0</v>
      </c>
    </row>
    <row r="30" spans="1:43" s="4284" customFormat="1" ht="18.75" hidden="1" customHeight="1">
      <c r="A30" s="1289"/>
      <c r="B30" s="1289"/>
      <c r="C30" s="1289"/>
      <c r="D30" s="1289"/>
      <c r="E30" s="1289"/>
      <c r="F30" s="1289"/>
      <c r="G30" s="1289"/>
      <c r="H30" s="1289"/>
      <c r="I30" s="1289"/>
      <c r="J30" s="1289"/>
      <c r="K30" s="1289"/>
      <c r="L30" s="1290"/>
      <c r="M30" s="1289"/>
      <c r="N30" s="1289"/>
      <c r="O30" s="1289"/>
      <c r="S30" s="5460" t="s">
        <v>43</v>
      </c>
      <c r="T30" s="5460"/>
      <c r="U30" s="1293"/>
      <c r="V30" s="5462" t="str">
        <f>IF(TITLE_IST_PUB_CHANGE="",IF(TITLE_IST_PUB="","",TITLE_IST_PUB),TITLE_IST_PUB_CHANGE)</f>
        <v/>
      </c>
      <c r="W30" s="5462"/>
      <c r="X30" s="5462"/>
      <c r="Y30" s="5462"/>
      <c r="Z30" s="5462"/>
      <c r="AA30" s="5462"/>
      <c r="AB30" s="264"/>
      <c r="AC30" s="5462" t="str">
        <f>IF(TITLE_IST_PUB_CHANGE="",IF(TITLE_IST_PUB="","",TITLE_IST_PUB),TITLE_IST_PUB_CHANGE)</f>
        <v/>
      </c>
      <c r="AD30" s="5462"/>
      <c r="AE30" s="5462"/>
      <c r="AF30" s="5462"/>
      <c r="AG30" s="5462"/>
      <c r="AH30" s="5462"/>
      <c r="AI30" s="264"/>
      <c r="AJ30" s="264"/>
      <c r="AK30" s="218"/>
      <c r="AL30" s="306"/>
      <c r="AM30" s="306"/>
      <c r="AN30" s="306"/>
      <c r="AO30" s="306"/>
      <c r="AP30" s="306"/>
      <c r="AQ30" s="356">
        <v>0</v>
      </c>
    </row>
    <row r="31" spans="1:43" ht="14.25" customHeight="1">
      <c r="Q31" s="314"/>
      <c r="R31" s="314"/>
      <c r="S31" s="1196"/>
      <c r="T31" s="301"/>
      <c r="U31" s="301"/>
      <c r="V31" s="260"/>
      <c r="W31" s="260"/>
      <c r="X31" s="260"/>
      <c r="Y31" s="260"/>
      <c r="Z31" s="260"/>
      <c r="AA31" s="260"/>
      <c r="AB31" s="260"/>
      <c r="AC31" s="260"/>
      <c r="AD31" s="260"/>
      <c r="AE31" s="260"/>
      <c r="AF31" s="260"/>
      <c r="AG31" s="260"/>
      <c r="AH31" s="260"/>
      <c r="AI31" s="260"/>
      <c r="AJ31" s="447"/>
      <c r="AQ31" s="1076">
        <v>0</v>
      </c>
    </row>
    <row r="32" spans="1:43" s="4284" customFormat="1" ht="18.75" customHeight="1">
      <c r="A32" s="1289"/>
      <c r="B32" s="1289"/>
      <c r="C32" s="1289"/>
      <c r="D32" s="1289"/>
      <c r="E32" s="1289"/>
      <c r="F32" s="1289"/>
      <c r="G32" s="1289"/>
      <c r="H32" s="1289"/>
      <c r="I32" s="1289"/>
      <c r="J32" s="1289"/>
      <c r="K32" s="1289"/>
      <c r="L32" s="1290"/>
      <c r="M32" s="1289"/>
      <c r="N32" s="1289"/>
      <c r="O32" s="1289"/>
      <c r="S32" s="5460" t="s">
        <v>516</v>
      </c>
      <c r="T32" s="5460"/>
      <c r="U32" s="1293"/>
      <c r="V32" s="5461">
        <f>IF(TITLE_DATE_PR_CHANGE="",IF(TITLE_DATE_PR="","",TITLE_DATE_PR),TITLE_DATE_PR_CHANGE)</f>
        <v>45649.605891203704</v>
      </c>
      <c r="W32" s="5461"/>
      <c r="X32" s="5461"/>
      <c r="Y32" s="5461"/>
      <c r="Z32" s="5461"/>
      <c r="AA32" s="5461"/>
      <c r="AB32" s="264"/>
      <c r="AC32" s="5461">
        <f>IF(TITLE_DATE_PR_CHANGE="",IF(TITLE_DATE_PR="","",TITLE_DATE_PR),TITLE_DATE_PR_CHANGE)</f>
        <v>45649.605891203704</v>
      </c>
      <c r="AD32" s="5461"/>
      <c r="AE32" s="5461"/>
      <c r="AF32" s="5461"/>
      <c r="AG32" s="5461"/>
      <c r="AH32" s="5461"/>
      <c r="AI32" s="264"/>
      <c r="AJ32" s="264"/>
      <c r="AK32" s="218"/>
      <c r="AL32" s="306"/>
      <c r="AM32" s="306"/>
      <c r="AN32" s="306"/>
      <c r="AO32" s="306"/>
      <c r="AP32" s="306"/>
      <c r="AQ32" s="356">
        <v>0</v>
      </c>
    </row>
    <row r="33" spans="1:43" s="4284" customFormat="1" ht="18.75" customHeight="1">
      <c r="A33" s="1289"/>
      <c r="B33" s="1289"/>
      <c r="C33" s="1289"/>
      <c r="D33" s="1289"/>
      <c r="E33" s="1289"/>
      <c r="F33" s="1289"/>
      <c r="G33" s="1289"/>
      <c r="H33" s="1289"/>
      <c r="I33" s="1289"/>
      <c r="J33" s="1289"/>
      <c r="K33" s="1289"/>
      <c r="L33" s="1290"/>
      <c r="M33" s="1289"/>
      <c r="N33" s="1289"/>
      <c r="O33" s="1289"/>
      <c r="S33" s="5460" t="s">
        <v>517</v>
      </c>
      <c r="T33" s="5460"/>
      <c r="U33" s="1293"/>
      <c r="V33" s="5462" t="str">
        <f>IF(TITLE_NUMBER_PR_CHANGE="",IF(TITLE_NUMBER_PR="","",TITLE_NUMBER_PR),TITLE_NUMBER_PR_CHANGE)</f>
        <v>27-6414</v>
      </c>
      <c r="W33" s="5462"/>
      <c r="X33" s="5462"/>
      <c r="Y33" s="5462"/>
      <c r="Z33" s="5462"/>
      <c r="AA33" s="5462"/>
      <c r="AB33" s="264"/>
      <c r="AC33" s="5462" t="str">
        <f>IF(TITLE_NUMBER_PR_CHANGE="",IF(TITLE_NUMBER_PR="","",TITLE_NUMBER_PR),TITLE_NUMBER_PR_CHANGE)</f>
        <v>27-6414</v>
      </c>
      <c r="AD33" s="5462"/>
      <c r="AE33" s="5462"/>
      <c r="AF33" s="5462"/>
      <c r="AG33" s="5462"/>
      <c r="AH33" s="5462"/>
      <c r="AI33" s="264"/>
      <c r="AJ33" s="264"/>
      <c r="AK33" s="218"/>
      <c r="AL33" s="306"/>
      <c r="AM33" s="306"/>
      <c r="AN33" s="306"/>
      <c r="AO33" s="306"/>
      <c r="AP33" s="306"/>
      <c r="AQ33" s="356">
        <v>0</v>
      </c>
    </row>
    <row r="34" spans="1:43" s="4284" customFormat="1" ht="1.1499999999999999" customHeight="1">
      <c r="A34" s="1289"/>
      <c r="B34" s="1289"/>
      <c r="C34" s="1289"/>
      <c r="D34" s="1289"/>
      <c r="E34" s="1289"/>
      <c r="F34" s="1289"/>
      <c r="G34" s="1289"/>
      <c r="H34" s="1289"/>
      <c r="I34" s="1289"/>
      <c r="J34" s="1289"/>
      <c r="K34" s="1289"/>
      <c r="L34" s="1290"/>
      <c r="M34" s="1289"/>
      <c r="N34" s="1289"/>
      <c r="O34" s="1289"/>
      <c r="S34" s="261"/>
      <c r="T34" s="261"/>
      <c r="U34" s="1409"/>
      <c r="V34" s="264"/>
      <c r="W34" s="264"/>
      <c r="X34" s="264"/>
      <c r="Y34" s="264"/>
      <c r="Z34" s="264"/>
      <c r="AA34" s="264"/>
      <c r="AB34" s="216" t="s">
        <v>518</v>
      </c>
      <c r="AC34" s="264"/>
      <c r="AD34" s="264"/>
      <c r="AE34" s="264"/>
      <c r="AF34" s="264"/>
      <c r="AG34" s="264"/>
      <c r="AH34" s="264"/>
      <c r="AI34" s="216" t="s">
        <v>518</v>
      </c>
      <c r="AL34" s="306"/>
      <c r="AM34" s="306"/>
      <c r="AN34" s="306"/>
      <c r="AO34" s="306"/>
      <c r="AP34" s="306"/>
      <c r="AQ34" s="356">
        <v>1</v>
      </c>
    </row>
    <row r="35" spans="1:43" ht="14.65" customHeight="1">
      <c r="Q35" s="314"/>
      <c r="R35" s="314"/>
      <c r="S35" s="1196"/>
      <c r="T35" s="301"/>
      <c r="U35" s="1165"/>
      <c r="V35" s="5481"/>
      <c r="W35" s="5481"/>
      <c r="X35" s="5481"/>
      <c r="Y35" s="5481"/>
      <c r="Z35" s="5481"/>
      <c r="AA35" s="5481"/>
      <c r="AB35" s="5481"/>
      <c r="AC35" s="5481"/>
      <c r="AD35" s="5481"/>
      <c r="AE35" s="5481"/>
      <c r="AF35" s="5481"/>
      <c r="AG35" s="5481"/>
      <c r="AH35" s="5481"/>
      <c r="AI35" s="5481"/>
      <c r="AQ35" s="1076">
        <v>14</v>
      </c>
    </row>
    <row r="36" spans="1:43" ht="14.65" customHeight="1">
      <c r="Q36" s="314"/>
      <c r="R36" s="314"/>
      <c r="S36" s="5328" t="s">
        <v>393</v>
      </c>
      <c r="T36" s="5328"/>
      <c r="U36" s="5328"/>
      <c r="V36" s="5328"/>
      <c r="W36" s="5328"/>
      <c r="X36" s="5328"/>
      <c r="Y36" s="5328"/>
      <c r="Z36" s="5328"/>
      <c r="AA36" s="5328"/>
      <c r="AB36" s="5328"/>
      <c r="AC36" s="5328"/>
      <c r="AD36" s="5328"/>
      <c r="AE36" s="5328"/>
      <c r="AF36" s="5328"/>
      <c r="AG36" s="5328"/>
      <c r="AH36" s="5328"/>
      <c r="AI36" s="5328"/>
      <c r="AJ36" s="5328"/>
      <c r="AK36" s="5328" t="s">
        <v>394</v>
      </c>
      <c r="AQ36" s="1076">
        <v>14</v>
      </c>
    </row>
    <row r="37" spans="1:43" ht="14.65" customHeight="1">
      <c r="Q37" s="314"/>
      <c r="R37" s="314"/>
      <c r="S37" s="5482" t="s">
        <v>88</v>
      </c>
      <c r="T37" s="5431" t="s">
        <v>519</v>
      </c>
      <c r="U37" s="239"/>
      <c r="V37" s="5483" t="s">
        <v>520</v>
      </c>
      <c r="W37" s="5484"/>
      <c r="X37" s="5484"/>
      <c r="Y37" s="5484"/>
      <c r="Z37" s="5484"/>
      <c r="AA37" s="5485"/>
      <c r="AB37" s="5486" t="s">
        <v>521</v>
      </c>
      <c r="AC37" s="5483" t="s">
        <v>520</v>
      </c>
      <c r="AD37" s="5484"/>
      <c r="AE37" s="5484"/>
      <c r="AF37" s="5484"/>
      <c r="AG37" s="5484"/>
      <c r="AH37" s="5485"/>
      <c r="AI37" s="5486" t="s">
        <v>522</v>
      </c>
      <c r="AJ37" s="5489" t="s">
        <v>523</v>
      </c>
      <c r="AK37" s="5328"/>
      <c r="AQ37" s="1076">
        <v>14</v>
      </c>
    </row>
    <row r="38" spans="1:43" ht="35.65" customHeight="1">
      <c r="Q38" s="314"/>
      <c r="R38" s="314"/>
      <c r="S38" s="5482"/>
      <c r="T38" s="5431"/>
      <c r="U38" s="956"/>
      <c r="V38" s="1404" t="s">
        <v>579</v>
      </c>
      <c r="W38" s="5309" t="s">
        <v>526</v>
      </c>
      <c r="X38" s="5308"/>
      <c r="Y38" s="5309" t="s">
        <v>527</v>
      </c>
      <c r="Z38" s="5314"/>
      <c r="AA38" s="5308"/>
      <c r="AB38" s="5487"/>
      <c r="AC38" s="1404" t="s">
        <v>579</v>
      </c>
      <c r="AD38" s="5309" t="s">
        <v>526</v>
      </c>
      <c r="AE38" s="5308"/>
      <c r="AF38" s="5309" t="s">
        <v>527</v>
      </c>
      <c r="AG38" s="5314"/>
      <c r="AH38" s="5308"/>
      <c r="AI38" s="5487"/>
      <c r="AJ38" s="5490"/>
      <c r="AK38" s="5328"/>
      <c r="AQ38" s="1076">
        <v>34</v>
      </c>
    </row>
    <row r="39" spans="1:43" ht="90.4" customHeight="1">
      <c r="A39" s="1291"/>
      <c r="B39" s="1291" t="s">
        <v>167</v>
      </c>
      <c r="C39" s="1291" t="s">
        <v>168</v>
      </c>
      <c r="D39" s="1291" t="s">
        <v>169</v>
      </c>
      <c r="E39" s="1285" t="s">
        <v>528</v>
      </c>
      <c r="F39" s="1285" t="s">
        <v>529</v>
      </c>
      <c r="G39" s="1285" t="s">
        <v>530</v>
      </c>
      <c r="H39" s="1285"/>
      <c r="I39" s="1285" t="s">
        <v>580</v>
      </c>
      <c r="J39" s="1285" t="s">
        <v>533</v>
      </c>
      <c r="K39" s="1285" t="s">
        <v>581</v>
      </c>
      <c r="L39" s="1285" t="s">
        <v>509</v>
      </c>
      <c r="Q39" s="314"/>
      <c r="R39" s="314"/>
      <c r="S39" s="5482"/>
      <c r="T39" s="5431"/>
      <c r="U39" s="240"/>
      <c r="V39" s="1404" t="s">
        <v>608</v>
      </c>
      <c r="W39" s="1143" t="s">
        <v>609</v>
      </c>
      <c r="X39" s="1143" t="s">
        <v>584</v>
      </c>
      <c r="Y39" s="1410" t="s">
        <v>537</v>
      </c>
      <c r="Z39" s="5436" t="s">
        <v>538</v>
      </c>
      <c r="AA39" s="5449"/>
      <c r="AB39" s="5488"/>
      <c r="AC39" s="1404" t="s">
        <v>608</v>
      </c>
      <c r="AD39" s="1143" t="s">
        <v>609</v>
      </c>
      <c r="AE39" s="1143" t="s">
        <v>584</v>
      </c>
      <c r="AF39" s="1410" t="s">
        <v>537</v>
      </c>
      <c r="AG39" s="5436" t="s">
        <v>538</v>
      </c>
      <c r="AH39" s="5449"/>
      <c r="AI39" s="5488"/>
      <c r="AJ39" s="5491"/>
      <c r="AK39" s="5328"/>
      <c r="AQ39" s="1076">
        <v>86</v>
      </c>
    </row>
    <row r="40" spans="1:43" s="4299" customFormat="1" ht="0" hidden="1" customHeight="1">
      <c r="A40" s="1291"/>
      <c r="B40" s="1291"/>
      <c r="C40" s="1291"/>
      <c r="D40" s="1291"/>
      <c r="E40" s="1291"/>
      <c r="F40" s="1291"/>
      <c r="G40" s="1291"/>
      <c r="H40" s="1291"/>
      <c r="I40" s="1291"/>
      <c r="J40" s="1291"/>
      <c r="K40" s="1291"/>
      <c r="L40" s="1285"/>
      <c r="M40" s="1283"/>
      <c r="N40" s="1283"/>
      <c r="O40" s="1283"/>
      <c r="P40" s="1167"/>
      <c r="Q40" s="1168"/>
      <c r="R40" s="1175">
        <v>1</v>
      </c>
      <c r="S40" s="1198" t="s">
        <v>136</v>
      </c>
      <c r="T40" s="1176" t="s">
        <v>103</v>
      </c>
      <c r="U40" s="1166" t="str">
        <f ca="1">OFFSET(U40,0,-1)</f>
        <v>2</v>
      </c>
      <c r="V40" s="1403">
        <f ca="1">OFFSET(V40,0,-1)+1</f>
        <v>3</v>
      </c>
      <c r="W40" s="1403">
        <f ca="1">OFFSET(W40,0,-1)+1</f>
        <v>4</v>
      </c>
      <c r="X40" s="1403">
        <f ca="1">OFFSET(X40,0,-1)+1</f>
        <v>5</v>
      </c>
      <c r="Y40" s="1403">
        <f ca="1">OFFSET(Y40,0,-1)+1</f>
        <v>6</v>
      </c>
      <c r="Z40" s="5480">
        <f ca="1">OFFSET(Z40,0,-1)+1</f>
        <v>7</v>
      </c>
      <c r="AA40" s="5480"/>
      <c r="AB40" s="1403">
        <f ca="1">OFFSET(AB40,0,-2)+1</f>
        <v>8</v>
      </c>
      <c r="AC40" s="1403">
        <f ca="1">OFFSET(AC40,0,-1)+1</f>
        <v>9</v>
      </c>
      <c r="AD40" s="1403">
        <f ca="1">OFFSET(AD40,0,-1)+1</f>
        <v>10</v>
      </c>
      <c r="AE40" s="1403">
        <f ca="1">OFFSET(AE40,0,-1)+1</f>
        <v>11</v>
      </c>
      <c r="AF40" s="1403">
        <f ca="1">OFFSET(AF40,0,-1)+1</f>
        <v>12</v>
      </c>
      <c r="AG40" s="5480">
        <f ca="1">OFFSET(AG40,0,-1)+1</f>
        <v>13</v>
      </c>
      <c r="AH40" s="5480"/>
      <c r="AI40" s="1403">
        <f ca="1">OFFSET(AI40,0,-2)+1</f>
        <v>14</v>
      </c>
      <c r="AJ40" s="1166">
        <f ca="1">OFFSET(AJ40,0,-1)</f>
        <v>14</v>
      </c>
      <c r="AK40" s="1403">
        <f ca="1">OFFSET(AK40,0,-1)+1</f>
        <v>15</v>
      </c>
      <c r="AL40" s="449"/>
      <c r="AM40" s="449"/>
      <c r="AN40" s="449"/>
      <c r="AO40" s="449"/>
      <c r="AP40" s="449"/>
      <c r="AQ40" s="434">
        <v>0</v>
      </c>
    </row>
    <row r="41" spans="1:43" ht="24" customHeight="1">
      <c r="A41" s="1284" t="s">
        <v>364</v>
      </c>
      <c r="B41" s="1284"/>
      <c r="C41" s="1284"/>
      <c r="D41" s="1284"/>
      <c r="E41" s="5469">
        <v>1</v>
      </c>
      <c r="F41" s="1284"/>
      <c r="G41" s="1284"/>
      <c r="H41" s="1284"/>
      <c r="I41" s="1284"/>
      <c r="J41" s="1284"/>
      <c r="K41" s="1284"/>
      <c r="L41" s="1285"/>
      <c r="M41" s="1286"/>
      <c r="N41" s="1286"/>
      <c r="O41" s="1286"/>
      <c r="P41" s="299"/>
      <c r="Q41" s="298"/>
      <c r="R41" s="293"/>
      <c r="S41" s="1414">
        <f>INDEX(PT_DIFFERENTIATION_NUM_NTAR,MATCH(A41,PT_DIFFERENTIATION_NTAR_ID,0))</f>
        <v>0</v>
      </c>
      <c r="T41" s="236" t="s">
        <v>155</v>
      </c>
      <c r="U41" s="238"/>
      <c r="V41" s="5463"/>
      <c r="W41" s="5464"/>
      <c r="X41" s="5464"/>
      <c r="Y41" s="5464"/>
      <c r="Z41" s="5464"/>
      <c r="AA41" s="5464"/>
      <c r="AB41" s="5465"/>
      <c r="AC41" s="5463" t="str">
        <f>INDEX(PT_DIFFERENTIATION_NTAR,MATCH(A41,PT_DIFFERENTIATION_NTAR_ID,0))</f>
        <v/>
      </c>
      <c r="AD41" s="5464"/>
      <c r="AE41" s="5464"/>
      <c r="AF41" s="5464"/>
      <c r="AG41" s="5464"/>
      <c r="AH41" s="5464"/>
      <c r="AI41" s="5464"/>
      <c r="AJ41" s="5465"/>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76">
        <v>23</v>
      </c>
    </row>
    <row r="42" spans="1:43" ht="24" customHeight="1">
      <c r="A42" s="1284" t="s">
        <v>364</v>
      </c>
      <c r="B42" s="1284" t="s">
        <v>365</v>
      </c>
      <c r="C42" s="1284"/>
      <c r="D42" s="1284"/>
      <c r="E42" s="5470"/>
      <c r="F42" s="5469">
        <v>1</v>
      </c>
      <c r="G42" s="1284"/>
      <c r="H42" s="1284"/>
      <c r="I42" s="1284"/>
      <c r="J42" s="1284"/>
      <c r="K42" s="1284"/>
      <c r="L42" s="1285"/>
      <c r="M42" s="1286"/>
      <c r="N42" s="1286"/>
      <c r="O42" s="1286"/>
      <c r="P42" s="1408"/>
      <c r="Q42" s="290"/>
      <c r="R42" s="291"/>
      <c r="S42" s="1414" t="str">
        <f>INDEX(PT_DIFFERENTIATION_NUM_TER,MATCH(B42,PT_DIFFERENTIATION_TER_ID,0))</f>
        <v>.</v>
      </c>
      <c r="T42" s="246" t="s">
        <v>490</v>
      </c>
      <c r="U42" s="238"/>
      <c r="V42" s="5463"/>
      <c r="W42" s="5464"/>
      <c r="X42" s="5464"/>
      <c r="Y42" s="5464"/>
      <c r="Z42" s="5464"/>
      <c r="AA42" s="5464"/>
      <c r="AB42" s="5465"/>
      <c r="AC42" s="5463" t="str">
        <f>INDEX(PT_DIFFERENTIATION_TER,MATCH(B42,PT_DIFFERENTIATION_TER_ID,0))</f>
        <v/>
      </c>
      <c r="AD42" s="5464"/>
      <c r="AE42" s="5464"/>
      <c r="AF42" s="5464"/>
      <c r="AG42" s="5464"/>
      <c r="AH42" s="5464"/>
      <c r="AI42" s="5464"/>
      <c r="AJ42" s="5465"/>
      <c r="AK42" s="1179" t="s">
        <v>491</v>
      </c>
      <c r="AM42" s="438"/>
      <c r="AN42" s="438" t="str">
        <f t="shared" si="1"/>
        <v>Территория действия тарифа</v>
      </c>
      <c r="AO42" s="438"/>
      <c r="AP42" s="438"/>
      <c r="AQ42" s="1076">
        <v>23</v>
      </c>
    </row>
    <row r="43" spans="1:43" ht="24" customHeight="1">
      <c r="A43" s="1284" t="s">
        <v>364</v>
      </c>
      <c r="B43" s="1284" t="s">
        <v>365</v>
      </c>
      <c r="C43" s="1284" t="s">
        <v>366</v>
      </c>
      <c r="D43" s="1284"/>
      <c r="E43" s="5470"/>
      <c r="F43" s="5470"/>
      <c r="G43" s="5469">
        <v>1</v>
      </c>
      <c r="H43" s="1284"/>
      <c r="I43" s="1284"/>
      <c r="J43" s="1284"/>
      <c r="K43" s="1284"/>
      <c r="L43" s="1285"/>
      <c r="M43" s="1286"/>
      <c r="N43" s="1286"/>
      <c r="O43" s="1286"/>
      <c r="P43" s="292"/>
      <c r="Q43" s="290"/>
      <c r="R43" s="291"/>
      <c r="S43" s="1414" t="str">
        <f>INDEX(PT_DIFFERENTIATION_NUM_CS,MATCH(C43,PT_DIFFERENTIATION_CS_ID,0))</f>
        <v>..</v>
      </c>
      <c r="T43" s="247" t="s">
        <v>606</v>
      </c>
      <c r="U43" s="238"/>
      <c r="V43" s="5463"/>
      <c r="W43" s="5464"/>
      <c r="X43" s="5464"/>
      <c r="Y43" s="5464"/>
      <c r="Z43" s="5464"/>
      <c r="AA43" s="5464"/>
      <c r="AB43" s="5465"/>
      <c r="AC43" s="5463" t="str">
        <f>INDEX(PT_DIFFERENTIATION_CS,MATCH(C43,PT_DIFFERENTIATION_CS_ID,0))</f>
        <v/>
      </c>
      <c r="AD43" s="5464"/>
      <c r="AE43" s="5464"/>
      <c r="AF43" s="5464"/>
      <c r="AG43" s="5464"/>
      <c r="AH43" s="5464"/>
      <c r="AI43" s="5464"/>
      <c r="AJ43" s="5465"/>
      <c r="AK43" s="1179" t="s">
        <v>607</v>
      </c>
      <c r="AM43" s="438"/>
      <c r="AN43" s="438" t="str">
        <f t="shared" si="1"/>
        <v>Наименование централизованной системы водоотведения</v>
      </c>
      <c r="AO43" s="438"/>
      <c r="AP43" s="438"/>
      <c r="AQ43" s="1076">
        <v>23</v>
      </c>
    </row>
    <row r="44" spans="1:43" ht="24" customHeight="1">
      <c r="A44" s="1284" t="s">
        <v>364</v>
      </c>
      <c r="B44" s="1284" t="s">
        <v>365</v>
      </c>
      <c r="C44" s="1284" t="s">
        <v>366</v>
      </c>
      <c r="D44" s="1284" t="s">
        <v>613</v>
      </c>
      <c r="E44" s="5470"/>
      <c r="F44" s="5470"/>
      <c r="G44" s="5470"/>
      <c r="H44" s="5470"/>
      <c r="I44" s="5471" t="str">
        <f>S43&amp;".1"</f>
        <v>...1</v>
      </c>
      <c r="J44" s="1284"/>
      <c r="K44" s="1284"/>
      <c r="L44" s="1285"/>
      <c r="P44" s="5473">
        <v>1</v>
      </c>
      <c r="Q44" s="1402"/>
      <c r="R44" s="294"/>
      <c r="S44" s="1414" t="str">
        <f>$I44</f>
        <v>...1</v>
      </c>
      <c r="T44" s="223" t="s">
        <v>573</v>
      </c>
      <c r="U44" s="238"/>
      <c r="V44" s="5537"/>
      <c r="W44" s="5538"/>
      <c r="X44" s="5538"/>
      <c r="Y44" s="5538"/>
      <c r="Z44" s="5538"/>
      <c r="AA44" s="5538"/>
      <c r="AB44" s="5539"/>
      <c r="AC44" s="5540"/>
      <c r="AD44" s="5541"/>
      <c r="AE44" s="5541"/>
      <c r="AF44" s="5541"/>
      <c r="AG44" s="5541"/>
      <c r="AH44" s="5541"/>
      <c r="AI44" s="5541"/>
      <c r="AJ44" s="5542"/>
      <c r="AK44" s="1179" t="s">
        <v>574</v>
      </c>
      <c r="AM44" s="438"/>
      <c r="AN44" s="438" t="str">
        <f t="shared" si="1"/>
        <v>Наименование признака дифференциации</v>
      </c>
      <c r="AO44" s="438"/>
      <c r="AP44" s="438"/>
      <c r="AQ44" s="1076">
        <v>23</v>
      </c>
    </row>
    <row r="45" spans="1:43" ht="24" customHeight="1">
      <c r="A45" s="1284" t="s">
        <v>364</v>
      </c>
      <c r="B45" s="1284" t="s">
        <v>365</v>
      </c>
      <c r="C45" s="1284" t="s">
        <v>366</v>
      </c>
      <c r="D45" s="1284" t="s">
        <v>613</v>
      </c>
      <c r="E45" s="5470"/>
      <c r="F45" s="5470"/>
      <c r="G45" s="5470"/>
      <c r="H45" s="5470"/>
      <c r="I45" s="5472"/>
      <c r="J45" s="5471" t="str">
        <f>I44&amp;".1"</f>
        <v>...1.1</v>
      </c>
      <c r="K45" s="1284"/>
      <c r="L45" s="1285" t="s">
        <v>499</v>
      </c>
      <c r="P45" s="5473"/>
      <c r="Q45" s="5473">
        <v>1</v>
      </c>
      <c r="R45" s="295"/>
      <c r="S45" s="1414" t="str">
        <f>$J45</f>
        <v>...1.1</v>
      </c>
      <c r="T45" s="224" t="s">
        <v>500</v>
      </c>
      <c r="U45" s="238"/>
      <c r="V45" s="5457"/>
      <c r="W45" s="5458"/>
      <c r="X45" s="5458"/>
      <c r="Y45" s="5458"/>
      <c r="Z45" s="5458"/>
      <c r="AA45" s="5458"/>
      <c r="AB45" s="5459"/>
      <c r="AC45" s="5457"/>
      <c r="AD45" s="5458"/>
      <c r="AE45" s="5458"/>
      <c r="AF45" s="5458"/>
      <c r="AG45" s="5458"/>
      <c r="AH45" s="5458"/>
      <c r="AI45" s="5458"/>
      <c r="AJ45" s="5459"/>
      <c r="AK45" s="1228" t="s">
        <v>575</v>
      </c>
      <c r="AM45" s="438"/>
      <c r="AN45" s="438" t="str">
        <f t="shared" si="1"/>
        <v>Группа потребителей</v>
      </c>
      <c r="AO45" s="438"/>
      <c r="AP45" s="438"/>
      <c r="AQ45" s="1076">
        <v>23</v>
      </c>
    </row>
    <row r="46" spans="1:43" ht="24" customHeight="1">
      <c r="A46" s="1284" t="s">
        <v>364</v>
      </c>
      <c r="B46" s="1284" t="s">
        <v>365</v>
      </c>
      <c r="C46" s="1284" t="s">
        <v>366</v>
      </c>
      <c r="D46" s="1284" t="s">
        <v>613</v>
      </c>
      <c r="E46" s="5470"/>
      <c r="F46" s="5470"/>
      <c r="G46" s="5470"/>
      <c r="H46" s="5470"/>
      <c r="I46" s="5472"/>
      <c r="J46" s="5472"/>
      <c r="K46" s="5471" t="str">
        <f>J45&amp;".1"</f>
        <v>...1.1.1</v>
      </c>
      <c r="L46" s="1285"/>
      <c r="P46" s="5473"/>
      <c r="Q46" s="5473"/>
      <c r="R46" s="295">
        <v>1</v>
      </c>
      <c r="S46" s="1414" t="str">
        <f>$K46</f>
        <v>...1.1.1</v>
      </c>
      <c r="T46" s="1358"/>
      <c r="U46" s="238"/>
      <c r="V46" s="1281"/>
      <c r="W46" s="1281"/>
      <c r="X46" s="1282"/>
      <c r="Y46" s="5467"/>
      <c r="Z46" s="5466" t="s">
        <v>66</v>
      </c>
      <c r="AA46" s="5467"/>
      <c r="AB46" s="5466" t="s">
        <v>66</v>
      </c>
      <c r="AC46" s="689"/>
      <c r="AD46" s="689"/>
      <c r="AE46" s="1178"/>
      <c r="AF46" s="5474"/>
      <c r="AG46" s="5338" t="s">
        <v>66</v>
      </c>
      <c r="AH46" s="5476"/>
      <c r="AI46" s="5338" t="s">
        <v>19</v>
      </c>
      <c r="AJ46" s="1359"/>
      <c r="AK46"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76">
        <v>23</v>
      </c>
    </row>
    <row r="47" spans="1:43" ht="0" hidden="1" customHeight="1">
      <c r="A47" s="1284" t="s">
        <v>364</v>
      </c>
      <c r="B47" s="1284" t="s">
        <v>365</v>
      </c>
      <c r="C47" s="1284" t="s">
        <v>366</v>
      </c>
      <c r="D47" s="1284" t="s">
        <v>613</v>
      </c>
      <c r="E47" s="5470"/>
      <c r="F47" s="5470"/>
      <c r="G47" s="5470"/>
      <c r="H47" s="5470"/>
      <c r="I47" s="5472"/>
      <c r="J47" s="5472"/>
      <c r="K47" s="5471"/>
      <c r="L47" s="1285"/>
      <c r="P47" s="5473"/>
      <c r="Q47" s="5473"/>
      <c r="R47" s="295"/>
      <c r="S47" s="1411"/>
      <c r="T47" s="238"/>
      <c r="U47" s="238"/>
      <c r="V47" s="1281"/>
      <c r="W47" s="1281"/>
      <c r="X47" s="266" t="str">
        <f>Y46&amp;"-"&amp;AA46</f>
        <v>-</v>
      </c>
      <c r="Y47" s="5466"/>
      <c r="Z47" s="5466"/>
      <c r="AA47" s="5466"/>
      <c r="AB47" s="5466"/>
      <c r="AC47" s="263"/>
      <c r="AD47" s="263"/>
      <c r="AE47" s="266" t="str">
        <f>AF46&amp;"-"&amp;AH46</f>
        <v>-</v>
      </c>
      <c r="AF47" s="5475"/>
      <c r="AG47" s="5338"/>
      <c r="AH47" s="5477"/>
      <c r="AI47" s="5338"/>
      <c r="AJ47" s="1360"/>
      <c r="AK47" s="5543"/>
      <c r="AM47" s="438"/>
      <c r="AN47" s="438" t="str">
        <f t="shared" si="1"/>
        <v/>
      </c>
      <c r="AO47" s="438"/>
      <c r="AP47" s="438"/>
      <c r="AQ47" s="1076">
        <v>0</v>
      </c>
    </row>
    <row r="48" spans="1:43" ht="21" customHeight="1">
      <c r="A48" s="1284" t="s">
        <v>364</v>
      </c>
      <c r="B48" s="1284" t="s">
        <v>365</v>
      </c>
      <c r="C48" s="1284" t="s">
        <v>366</v>
      </c>
      <c r="D48" s="1284" t="s">
        <v>613</v>
      </c>
      <c r="E48" s="5470"/>
      <c r="F48" s="5470"/>
      <c r="G48" s="5470"/>
      <c r="H48" s="5470"/>
      <c r="I48" s="5472"/>
      <c r="J48" s="5471"/>
      <c r="K48" s="1284"/>
      <c r="L48" s="1285"/>
      <c r="P48" s="5473"/>
      <c r="Q48" s="5473"/>
      <c r="R48" s="294"/>
      <c r="S48" s="1199"/>
      <c r="T48" s="225" t="s">
        <v>576</v>
      </c>
      <c r="U48" s="305"/>
      <c r="V48" s="305"/>
      <c r="W48" s="305"/>
      <c r="X48" s="305"/>
      <c r="Y48" s="305"/>
      <c r="Z48" s="305"/>
      <c r="AA48" s="305"/>
      <c r="AB48" s="305"/>
      <c r="AC48" s="305"/>
      <c r="AD48" s="305"/>
      <c r="AE48" s="305"/>
      <c r="AF48" s="305"/>
      <c r="AG48" s="305"/>
      <c r="AH48" s="305"/>
      <c r="AI48" s="305"/>
      <c r="AJ48" s="305"/>
      <c r="AK48" s="1179" t="s">
        <v>577</v>
      </c>
      <c r="AM48" s="438"/>
      <c r="AN48" s="438" t="str">
        <f t="shared" si="1"/>
        <v>Добавить значение признака дифференциации</v>
      </c>
      <c r="AO48" s="438"/>
      <c r="AP48" s="438"/>
      <c r="AQ48" s="1076">
        <v>20</v>
      </c>
    </row>
    <row r="49" spans="1:43" ht="21.95" customHeight="1">
      <c r="A49" s="1284" t="s">
        <v>364</v>
      </c>
      <c r="B49" s="1284" t="s">
        <v>365</v>
      </c>
      <c r="C49" s="1284" t="s">
        <v>366</v>
      </c>
      <c r="D49" s="1284" t="s">
        <v>613</v>
      </c>
      <c r="E49" s="5470"/>
      <c r="F49" s="5470"/>
      <c r="G49" s="5470"/>
      <c r="H49" s="5470"/>
      <c r="I49" s="5471"/>
      <c r="J49" s="1284"/>
      <c r="K49" s="1284"/>
      <c r="L49" s="1285"/>
      <c r="P49" s="5473"/>
      <c r="Q49" s="1402"/>
      <c r="R49" s="294"/>
      <c r="S49" s="1199"/>
      <c r="T49" s="303" t="s">
        <v>505</v>
      </c>
      <c r="U49" s="305"/>
      <c r="V49" s="305"/>
      <c r="W49" s="305"/>
      <c r="X49" s="305"/>
      <c r="Y49" s="305"/>
      <c r="Z49" s="305"/>
      <c r="AA49" s="305"/>
      <c r="AB49" s="304"/>
      <c r="AC49" s="305"/>
      <c r="AD49" s="305"/>
      <c r="AE49" s="305"/>
      <c r="AF49" s="305"/>
      <c r="AG49" s="305"/>
      <c r="AH49" s="305"/>
      <c r="AI49" s="304"/>
      <c r="AJ49" s="305"/>
      <c r="AK49" s="1361"/>
      <c r="AM49" s="438"/>
      <c r="AN49" s="438" t="str">
        <f t="shared" si="1"/>
        <v>Добавить группу потребителей</v>
      </c>
      <c r="AO49" s="438"/>
      <c r="AP49" s="438"/>
      <c r="AQ49" s="1076">
        <v>21</v>
      </c>
    </row>
    <row r="50" spans="1:43" ht="21.95" customHeight="1">
      <c r="A50" s="1284" t="s">
        <v>364</v>
      </c>
      <c r="B50" s="1284" t="s">
        <v>365</v>
      </c>
      <c r="C50" s="1284" t="s">
        <v>366</v>
      </c>
      <c r="D50" s="1284" t="s">
        <v>613</v>
      </c>
      <c r="E50" s="5470"/>
      <c r="F50" s="5470"/>
      <c r="G50" s="5470"/>
      <c r="H50" s="5469"/>
      <c r="I50" s="1284"/>
      <c r="J50" s="1284"/>
      <c r="K50" s="1284"/>
      <c r="L50" s="1285"/>
      <c r="M50" s="1286"/>
      <c r="N50" s="1286"/>
      <c r="O50" s="475"/>
      <c r="P50" s="298"/>
      <c r="Q50" s="313"/>
      <c r="R50" s="293"/>
      <c r="S50" s="1199"/>
      <c r="T50" s="310" t="s">
        <v>578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76">
        <v>21</v>
      </c>
    </row>
    <row r="51" spans="1:43" s="4275" customFormat="1" ht="0" hidden="1" customHeight="1">
      <c r="A51" s="1264" t="s">
        <v>364</v>
      </c>
      <c r="B51" s="1264" t="s">
        <v>365</v>
      </c>
      <c r="C51" s="1235"/>
      <c r="D51" s="1235"/>
      <c r="E51" s="5470"/>
      <c r="F51" s="5469"/>
      <c r="G51" s="1235"/>
      <c r="H51" s="1235"/>
      <c r="I51" s="1235"/>
      <c r="J51" s="1235"/>
      <c r="K51" s="1235"/>
      <c r="L51" s="1415"/>
      <c r="M51" s="1242"/>
      <c r="N51" s="1242"/>
      <c r="P51" s="1237"/>
      <c r="Q51" s="1238"/>
      <c r="R51" s="1237"/>
      <c r="S51" s="1243"/>
      <c r="T51" s="1246" t="s">
        <v>312</v>
      </c>
      <c r="U51" s="1245"/>
      <c r="V51" s="1245"/>
      <c r="W51" s="1245"/>
      <c r="X51" s="1245"/>
      <c r="Y51" s="1245"/>
      <c r="Z51" s="1245"/>
      <c r="AA51" s="1245"/>
      <c r="AB51" s="1245"/>
      <c r="AC51" s="1245"/>
      <c r="AD51" s="1245"/>
      <c r="AE51" s="1245"/>
      <c r="AF51" s="1245"/>
      <c r="AG51" s="1245"/>
      <c r="AH51" s="1245"/>
      <c r="AI51" s="1245"/>
      <c r="AJ51" s="1245"/>
      <c r="AK51" s="1245"/>
      <c r="AM51" s="721"/>
      <c r="AN51" s="721" t="str">
        <f t="shared" si="1"/>
        <v>Добавить централизованную систему для дифференциации</v>
      </c>
      <c r="AO51" s="721"/>
      <c r="AP51" s="721"/>
      <c r="AQ51" s="456">
        <v>0</v>
      </c>
    </row>
    <row r="52" spans="1:43" s="4275" customFormat="1" ht="0" hidden="1" customHeight="1">
      <c r="A52" s="1264" t="s">
        <v>364</v>
      </c>
      <c r="B52" s="1264"/>
      <c r="C52" s="1264"/>
      <c r="D52" s="1264"/>
      <c r="E52" s="5469"/>
      <c r="F52" s="1264"/>
      <c r="G52" s="1264"/>
      <c r="H52" s="1264"/>
      <c r="I52" s="1264"/>
      <c r="J52" s="1264"/>
      <c r="K52" s="1264"/>
      <c r="L52" s="1267"/>
      <c r="M52" s="1242"/>
      <c r="N52" s="1242"/>
      <c r="O52" s="456"/>
      <c r="P52" s="318"/>
      <c r="Q52" s="1265"/>
      <c r="R52" s="318"/>
      <c r="S52" s="1243"/>
      <c r="T52" s="1246" t="s">
        <v>360</v>
      </c>
      <c r="U52" s="1245"/>
      <c r="V52" s="1245"/>
      <c r="W52" s="1245"/>
      <c r="X52" s="1245"/>
      <c r="Y52" s="1245"/>
      <c r="Z52" s="1245"/>
      <c r="AA52" s="1245"/>
      <c r="AB52" s="1245"/>
      <c r="AC52" s="1245"/>
      <c r="AD52" s="1245"/>
      <c r="AE52" s="1245"/>
      <c r="AF52" s="1245"/>
      <c r="AG52" s="1245"/>
      <c r="AH52" s="1245"/>
      <c r="AI52" s="1245"/>
      <c r="AJ52" s="1245"/>
      <c r="AK52" s="1245"/>
      <c r="AM52" s="438"/>
      <c r="AN52" s="438" t="str">
        <f t="shared" si="1"/>
        <v>Добавить территорию для дифференциации</v>
      </c>
      <c r="AO52" s="438"/>
      <c r="AP52" s="438"/>
      <c r="AQ52" s="449">
        <v>0</v>
      </c>
    </row>
    <row r="53" spans="1:43" s="4275" customFormat="1" ht="0" hidden="1" customHeight="1">
      <c r="A53" s="1235"/>
      <c r="B53" s="1235"/>
      <c r="C53" s="1235"/>
      <c r="D53" s="1235"/>
      <c r="E53" s="1264"/>
      <c r="F53" s="1235"/>
      <c r="G53" s="1235"/>
      <c r="H53" s="1235"/>
      <c r="I53" s="1235"/>
      <c r="J53" s="1235"/>
      <c r="K53" s="1235"/>
      <c r="L53" s="1415"/>
      <c r="M53" s="1242"/>
      <c r="N53" s="1242"/>
      <c r="P53" s="1237"/>
      <c r="Q53" s="1238"/>
      <c r="R53" s="1237"/>
      <c r="S53" s="1243"/>
      <c r="T53" s="1246" t="s">
        <v>361</v>
      </c>
      <c r="U53" s="1245"/>
      <c r="V53" s="1245"/>
      <c r="W53" s="1245"/>
      <c r="X53" s="1245"/>
      <c r="Y53" s="1245"/>
      <c r="Z53" s="1245"/>
      <c r="AA53" s="1245"/>
      <c r="AB53" s="1245"/>
      <c r="AC53" s="1245"/>
      <c r="AD53" s="1245"/>
      <c r="AE53" s="1245"/>
      <c r="AF53" s="1245"/>
      <c r="AG53" s="1245"/>
      <c r="AH53" s="1245"/>
      <c r="AI53" s="1245"/>
      <c r="AJ53" s="1245"/>
      <c r="AK53" s="1245"/>
      <c r="AM53" s="721"/>
      <c r="AN53" s="721" t="str">
        <f t="shared" si="1"/>
        <v>Добавить наименование тарифа</v>
      </c>
      <c r="AO53" s="721"/>
      <c r="AP53" s="721"/>
      <c r="AQ53" s="456">
        <v>0</v>
      </c>
    </row>
    <row r="54" spans="1:43" ht="11.45" customHeight="1">
      <c r="M54" s="1081"/>
      <c r="N54" s="1081"/>
      <c r="O54" s="475"/>
      <c r="P54" s="1076"/>
      <c r="Q54" s="1076"/>
      <c r="R54" s="1076"/>
      <c r="S54" s="1076"/>
      <c r="AL54" s="1076"/>
      <c r="AM54" s="1076"/>
      <c r="AN54" s="1076"/>
      <c r="AO54" s="1076"/>
      <c r="AP54" s="1076"/>
      <c r="AQ54" s="1076">
        <v>11</v>
      </c>
    </row>
    <row r="55" spans="1:43" ht="14.65" customHeight="1">
      <c r="O55" s="475"/>
      <c r="S55" s="1174"/>
      <c r="T55" s="5468"/>
      <c r="U55" s="5468"/>
      <c r="V55" s="5468"/>
      <c r="W55" s="5468"/>
      <c r="X55" s="5468"/>
      <c r="Y55" s="5468"/>
      <c r="Z55" s="5468"/>
      <c r="AA55" s="5468"/>
      <c r="AB55" s="5468"/>
      <c r="AC55" s="5468"/>
      <c r="AD55" s="5468"/>
      <c r="AE55" s="5468"/>
      <c r="AF55" s="5468"/>
      <c r="AG55" s="5468"/>
      <c r="AH55" s="5468"/>
      <c r="AI55" s="5468"/>
      <c r="AJ55" s="5468"/>
      <c r="AK55" s="5468"/>
      <c r="AQ55" s="1076">
        <v>14</v>
      </c>
    </row>
    <row r="56" spans="1:43" ht="14.65" customHeight="1">
      <c r="O56" s="475"/>
      <c r="AQ56" s="1076">
        <v>14</v>
      </c>
    </row>
    <row r="57" spans="1:43" ht="14.65" customHeight="1">
      <c r="O57" s="475"/>
      <c r="S57" s="1174"/>
      <c r="T57" s="5468"/>
      <c r="U57" s="5468"/>
      <c r="V57" s="5468"/>
      <c r="W57" s="5468"/>
      <c r="X57" s="5468"/>
      <c r="Y57" s="5468"/>
      <c r="Z57" s="5468"/>
      <c r="AA57" s="5468"/>
      <c r="AB57" s="5468"/>
      <c r="AC57" s="5468"/>
      <c r="AD57" s="5468"/>
      <c r="AE57" s="5468"/>
      <c r="AF57" s="5468"/>
      <c r="AG57" s="5468"/>
      <c r="AH57" s="5468"/>
      <c r="AI57" s="5468"/>
      <c r="AJ57" s="5468"/>
      <c r="AK57" s="5468"/>
      <c r="AQ57" s="1076">
        <v>14</v>
      </c>
    </row>
    <row r="58" spans="1:43" ht="22.5" hidden="1" customHeight="1">
      <c r="A58" s="1081" t="s">
        <v>82</v>
      </c>
      <c r="B58" s="1081">
        <v>0</v>
      </c>
      <c r="C58" s="1081">
        <v>0</v>
      </c>
      <c r="D58" s="1081">
        <v>0</v>
      </c>
      <c r="E58" s="1081">
        <v>0</v>
      </c>
      <c r="F58" s="1081">
        <v>0</v>
      </c>
      <c r="G58" s="1081">
        <v>0</v>
      </c>
      <c r="H58" s="1081">
        <v>0</v>
      </c>
      <c r="I58" s="1081">
        <v>0</v>
      </c>
      <c r="J58" s="1081">
        <v>0</v>
      </c>
      <c r="K58" s="1081">
        <v>0</v>
      </c>
      <c r="L58" s="1399">
        <v>0</v>
      </c>
      <c r="M58" s="1283">
        <v>0</v>
      </c>
      <c r="N58" s="1283">
        <v>0</v>
      </c>
      <c r="O58" s="1283">
        <v>0</v>
      </c>
      <c r="P58" s="1394">
        <v>3</v>
      </c>
      <c r="Q58" s="282">
        <v>3</v>
      </c>
      <c r="R58" s="282">
        <v>3</v>
      </c>
      <c r="S58" s="519">
        <v>12</v>
      </c>
      <c r="T58" s="1076">
        <v>35</v>
      </c>
      <c r="U58" s="1076">
        <v>0</v>
      </c>
      <c r="V58" s="1076">
        <v>0</v>
      </c>
      <c r="W58" s="1076">
        <v>0</v>
      </c>
      <c r="X58" s="1076">
        <v>0</v>
      </c>
      <c r="Y58" s="1076">
        <v>0</v>
      </c>
      <c r="Z58" s="1076">
        <v>0</v>
      </c>
      <c r="AA58" s="1076">
        <v>0</v>
      </c>
      <c r="AB58" s="1076">
        <v>0</v>
      </c>
      <c r="AC58" s="1076">
        <v>24</v>
      </c>
      <c r="AD58" s="1076">
        <v>24</v>
      </c>
      <c r="AE58" s="1076">
        <v>24</v>
      </c>
      <c r="AF58" s="1076">
        <v>11</v>
      </c>
      <c r="AG58" s="1076">
        <v>3</v>
      </c>
      <c r="AH58" s="1076">
        <v>11</v>
      </c>
      <c r="AI58" s="1076">
        <v>0</v>
      </c>
      <c r="AJ58" s="1076">
        <v>4</v>
      </c>
      <c r="AK58" s="1076">
        <v>115</v>
      </c>
      <c r="AL58" s="449">
        <v>10</v>
      </c>
      <c r="AM58" s="449">
        <v>10</v>
      </c>
      <c r="AN58" s="449">
        <v>10</v>
      </c>
      <c r="AO58" s="449">
        <v>10</v>
      </c>
      <c r="AP58" s="449">
        <v>10</v>
      </c>
      <c r="AQ58" s="1076">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274" hidden="1" customWidth="1"/>
    <col min="2" max="2" width="11" style="4274" hidden="1" customWidth="1"/>
    <col min="3" max="3" width="10.5703125" style="4274" hidden="1"/>
    <col min="4" max="4" width="12.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7109375" style="4301" hidden="1" customWidth="1"/>
    <col min="17" max="17" width="3.7109375" style="4306" hidden="1" customWidth="1"/>
    <col min="18" max="18" width="3" style="4303" customWidth="1"/>
    <col min="19" max="19" width="12" style="4304" customWidth="1"/>
    <col min="20" max="20" width="31" style="4267" customWidth="1"/>
    <col min="21" max="21" width="0.140625" style="4267" customWidth="1"/>
    <col min="22" max="25" width="21.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3.7109375" style="4267" customWidth="1"/>
    <col min="31" max="32" width="3" style="4267" customWidth="1"/>
    <col min="33" max="33" width="24" style="4267" customWidth="1"/>
    <col min="34" max="34" width="3.7109375" style="4267" customWidth="1"/>
    <col min="35" max="36" width="3" style="4267" customWidth="1"/>
    <col min="37" max="37" width="24" style="4267" customWidth="1"/>
    <col min="38" max="38" width="3.7109375" style="4267" customWidth="1"/>
    <col min="39" max="40" width="3" style="4267" customWidth="1"/>
    <col min="41" max="41" width="18" style="4267" customWidth="1"/>
    <col min="42" max="42" width="3.7109375" style="4267" customWidth="1"/>
    <col min="43" max="44" width="3" style="4267" customWidth="1"/>
    <col min="45" max="45" width="18" style="4267" customWidth="1"/>
    <col min="46" max="49" width="21" style="4267" customWidth="1"/>
    <col min="50" max="50" width="11" style="4267" customWidth="1"/>
    <col min="51" max="51" width="3.7109375" style="4267" customWidth="1"/>
    <col min="52" max="52" width="11" style="4267" customWidth="1"/>
    <col min="53" max="53" width="8.5703125" style="4267" hidden="1" customWidth="1"/>
    <col min="54" max="54" width="4" style="4267" customWidth="1"/>
    <col min="55" max="55" width="115" style="4267" customWidth="1"/>
    <col min="56" max="60" width="10" style="4275" customWidth="1"/>
    <col min="61" max="61" width="10.5703125" style="4267" hidden="1"/>
  </cols>
  <sheetData>
    <row r="1" spans="1:61" ht="22.5" hidden="1" customHeight="1">
      <c r="W1" s="265"/>
      <c r="Y1" s="265"/>
      <c r="Z1" s="265"/>
      <c r="AW1" s="265"/>
      <c r="AX1" s="265"/>
      <c r="BI1" s="1076" t="s">
        <v>14</v>
      </c>
    </row>
    <row r="2" spans="1:61" ht="21" hidden="1" customHeight="1">
      <c r="A2" s="1284"/>
      <c r="B2" s="1284"/>
      <c r="C2" s="1284"/>
      <c r="D2" s="1284"/>
      <c r="E2" s="5469">
        <v>1</v>
      </c>
      <c r="F2" s="1284"/>
      <c r="G2" s="1284"/>
      <c r="H2" s="1284"/>
      <c r="I2" s="1284"/>
      <c r="J2" s="1284"/>
      <c r="K2" s="1284"/>
      <c r="L2" s="1285"/>
      <c r="M2" s="1286"/>
      <c r="N2" s="1286"/>
      <c r="O2" s="1286"/>
      <c r="P2" s="1330"/>
      <c r="Q2" s="801"/>
      <c r="R2" s="293"/>
      <c r="S2" s="1414" t="e">
        <f>INDEX(PT_DIFFERENTIATION_NUM_NTAR,MATCH(A2,PT_DIFFERENTIATION_NTAR_ID,0))</f>
        <v>#N/A</v>
      </c>
      <c r="T2" s="236" t="s">
        <v>155</v>
      </c>
      <c r="U2" s="238"/>
      <c r="V2" s="5464"/>
      <c r="W2" s="5464"/>
      <c r="X2" s="5464"/>
      <c r="Y2" s="5464"/>
      <c r="Z2" s="5464"/>
      <c r="AA2" s="5464"/>
      <c r="AB2" s="5464"/>
      <c r="AC2" s="5465"/>
      <c r="AD2" s="5463" t="e">
        <f>INDEX(PT_DIFFERENTIATION_NTAR,MATCH(A2,PT_DIFFERENTIATION_NTAR_ID,0))</f>
        <v>#N/A</v>
      </c>
      <c r="AE2" s="5464"/>
      <c r="AF2" s="5464"/>
      <c r="AG2" s="5464"/>
      <c r="AH2" s="5464"/>
      <c r="AI2" s="5464"/>
      <c r="AJ2" s="5464"/>
      <c r="AK2" s="5464"/>
      <c r="AL2" s="5464"/>
      <c r="AM2" s="5464"/>
      <c r="AN2" s="5464"/>
      <c r="AO2" s="5464"/>
      <c r="AP2" s="5464"/>
      <c r="AQ2" s="5464"/>
      <c r="AR2" s="5464"/>
      <c r="AS2" s="5464"/>
      <c r="AT2" s="5464"/>
      <c r="AU2" s="5464"/>
      <c r="AV2" s="5464"/>
      <c r="AW2" s="5464"/>
      <c r="AX2" s="5464"/>
      <c r="AY2" s="5464"/>
      <c r="AZ2" s="5464"/>
      <c r="BA2" s="5464"/>
      <c r="BB2" s="5465"/>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76">
        <v>0</v>
      </c>
    </row>
    <row r="3" spans="1:61" ht="21" hidden="1" customHeight="1">
      <c r="A3" s="1284"/>
      <c r="B3" s="1284"/>
      <c r="C3" s="1284"/>
      <c r="D3" s="1284"/>
      <c r="E3" s="5470"/>
      <c r="F3" s="5469">
        <v>1</v>
      </c>
      <c r="G3" s="1284"/>
      <c r="H3" s="1284"/>
      <c r="I3" s="1284"/>
      <c r="J3" s="1284"/>
      <c r="K3" s="1284"/>
      <c r="L3" s="1285"/>
      <c r="M3" s="1286"/>
      <c r="N3" s="1286"/>
      <c r="O3" s="1286"/>
      <c r="P3" s="1331"/>
      <c r="Q3" s="1332"/>
      <c r="R3" s="291"/>
      <c r="S3" s="1414" t="e">
        <f>INDEX(PT_DIFFERENTIATION_NUM_TER,MATCH(B3,PT_DIFFERENTIATION_TER_ID,0))</f>
        <v>#N/A</v>
      </c>
      <c r="T3" s="246" t="s">
        <v>490</v>
      </c>
      <c r="U3" s="238"/>
      <c r="V3" s="5464"/>
      <c r="W3" s="5464"/>
      <c r="X3" s="5464"/>
      <c r="Y3" s="5464"/>
      <c r="Z3" s="5464"/>
      <c r="AA3" s="5464"/>
      <c r="AB3" s="5464"/>
      <c r="AC3" s="5465"/>
      <c r="AD3" s="5463" t="e">
        <f>INDEX(PT_DIFFERENTIATION_TER,MATCH(B3,PT_DIFFERENTIATION_TER_ID,0))</f>
        <v>#N/A</v>
      </c>
      <c r="AE3" s="5464"/>
      <c r="AF3" s="5464"/>
      <c r="AG3" s="5464"/>
      <c r="AH3" s="5464"/>
      <c r="AI3" s="5464"/>
      <c r="AJ3" s="5464"/>
      <c r="AK3" s="5464"/>
      <c r="AL3" s="5464"/>
      <c r="AM3" s="5464"/>
      <c r="AN3" s="5464"/>
      <c r="AO3" s="5464"/>
      <c r="AP3" s="5464"/>
      <c r="AQ3" s="5464"/>
      <c r="AR3" s="5464"/>
      <c r="AS3" s="5464"/>
      <c r="AT3" s="5464"/>
      <c r="AU3" s="5464"/>
      <c r="AV3" s="5464"/>
      <c r="AW3" s="5464"/>
      <c r="AX3" s="5464"/>
      <c r="AY3" s="5464"/>
      <c r="AZ3" s="5464"/>
      <c r="BA3" s="5464"/>
      <c r="BB3" s="5465"/>
      <c r="BC3" s="1179" t="s">
        <v>491</v>
      </c>
      <c r="BE3" s="438"/>
      <c r="BF3" s="438" t="str">
        <f t="shared" si="0"/>
        <v>Территория действия тарифа</v>
      </c>
      <c r="BG3" s="438"/>
      <c r="BH3" s="438"/>
      <c r="BI3" s="1076">
        <v>0</v>
      </c>
    </row>
    <row r="4" spans="1:61" ht="33.75" hidden="1" customHeight="1">
      <c r="A4" s="1284"/>
      <c r="B4" s="1284"/>
      <c r="C4" s="1284"/>
      <c r="D4" s="1284"/>
      <c r="E4" s="5470"/>
      <c r="F4" s="5470"/>
      <c r="G4" s="5469">
        <v>1</v>
      </c>
      <c r="H4" s="1284"/>
      <c r="I4" s="1284"/>
      <c r="J4" s="1284"/>
      <c r="K4" s="1284"/>
      <c r="L4" s="1285"/>
      <c r="M4" s="1286"/>
      <c r="N4" s="1286"/>
      <c r="O4" s="1286"/>
      <c r="P4" s="1333"/>
      <c r="Q4" s="1332"/>
      <c r="R4" s="291"/>
      <c r="S4" s="1414" t="e">
        <f>INDEX(PT_DIFFERENTIATION_NUM_CS,MATCH(C4,PT_DIFFERENTIATION_CS_ID,0))</f>
        <v>#N/A</v>
      </c>
      <c r="T4" s="247" t="s">
        <v>606</v>
      </c>
      <c r="U4" s="238"/>
      <c r="V4" s="5464"/>
      <c r="W4" s="5464"/>
      <c r="X4" s="5464"/>
      <c r="Y4" s="5464"/>
      <c r="Z4" s="5464"/>
      <c r="AA4" s="5464"/>
      <c r="AB4" s="5464"/>
      <c r="AC4" s="5465"/>
      <c r="AD4" s="5463" t="e">
        <f>INDEX(PT_DIFFERENTIATION_CS,MATCH(C4,PT_DIFFERENTIATION_CS_ID,0))</f>
        <v>#N/A</v>
      </c>
      <c r="AE4" s="5464"/>
      <c r="AF4" s="5464"/>
      <c r="AG4" s="5464"/>
      <c r="AH4" s="5464"/>
      <c r="AI4" s="5464"/>
      <c r="AJ4" s="5464"/>
      <c r="AK4" s="5464"/>
      <c r="AL4" s="5464"/>
      <c r="AM4" s="5464"/>
      <c r="AN4" s="5464"/>
      <c r="AO4" s="5464"/>
      <c r="AP4" s="5464"/>
      <c r="AQ4" s="5464"/>
      <c r="AR4" s="5464"/>
      <c r="AS4" s="5464"/>
      <c r="AT4" s="5464"/>
      <c r="AU4" s="5464"/>
      <c r="AV4" s="5464"/>
      <c r="AW4" s="5464"/>
      <c r="AX4" s="5464"/>
      <c r="AY4" s="5464"/>
      <c r="AZ4" s="5464"/>
      <c r="BA4" s="5464"/>
      <c r="BB4" s="5465"/>
      <c r="BC4" s="1179" t="s">
        <v>607</v>
      </c>
      <c r="BE4" s="438"/>
      <c r="BF4" s="438" t="str">
        <f t="shared" si="0"/>
        <v>Наименование централизованной системы водоотведения</v>
      </c>
      <c r="BG4" s="438"/>
      <c r="BH4" s="438"/>
      <c r="BI4" s="1076">
        <v>0</v>
      </c>
    </row>
    <row r="5" spans="1:61" s="4275" customFormat="1" ht="14.25" hidden="1" customHeight="1">
      <c r="A5" s="1264"/>
      <c r="B5" s="1264"/>
      <c r="C5" s="1264"/>
      <c r="D5" s="1264"/>
      <c r="E5" s="5470"/>
      <c r="F5" s="5470"/>
      <c r="G5" s="5470"/>
      <c r="H5" s="5469">
        <v>1</v>
      </c>
      <c r="I5" s="1264"/>
      <c r="J5" s="1264"/>
      <c r="K5" s="1264"/>
      <c r="L5" s="1267"/>
      <c r="M5" s="1236"/>
      <c r="N5" s="1236"/>
      <c r="O5" s="1236"/>
      <c r="P5" s="1418"/>
      <c r="Q5" s="1419"/>
      <c r="R5" s="295"/>
      <c r="S5" s="967"/>
      <c r="T5" s="1420"/>
      <c r="U5" s="1305"/>
      <c r="V5" s="5501"/>
      <c r="W5" s="5501"/>
      <c r="X5" s="5501"/>
      <c r="Y5" s="5501"/>
      <c r="Z5" s="5501"/>
      <c r="AA5" s="5501"/>
      <c r="AB5" s="5501"/>
      <c r="AC5" s="5502"/>
      <c r="AD5" s="5500"/>
      <c r="AE5" s="5501"/>
      <c r="AF5" s="5501"/>
      <c r="AG5" s="5501"/>
      <c r="AH5" s="5501"/>
      <c r="AI5" s="5501"/>
      <c r="AJ5" s="5501"/>
      <c r="AK5" s="5501"/>
      <c r="AL5" s="5501"/>
      <c r="AM5" s="5501"/>
      <c r="AN5" s="5501"/>
      <c r="AO5" s="5501"/>
      <c r="AP5" s="5501"/>
      <c r="AQ5" s="5501"/>
      <c r="AR5" s="5501"/>
      <c r="AS5" s="5501"/>
      <c r="AT5" s="5501"/>
      <c r="AU5" s="5501"/>
      <c r="AV5" s="5501"/>
      <c r="AW5" s="5501"/>
      <c r="AX5" s="5501"/>
      <c r="AY5" s="5501"/>
      <c r="AZ5" s="5501"/>
      <c r="BA5" s="5501"/>
      <c r="BB5" s="5502"/>
      <c r="BC5" s="1306" t="s">
        <v>495</v>
      </c>
      <c r="BE5" s="438"/>
      <c r="BF5" s="438" t="str">
        <f t="shared" si="0"/>
        <v/>
      </c>
      <c r="BG5" s="438"/>
      <c r="BH5" s="438"/>
      <c r="BI5" s="449">
        <v>0</v>
      </c>
    </row>
    <row r="6" spans="1:61" s="4275" customFormat="1" ht="14.25" hidden="1" customHeight="1">
      <c r="A6" s="1264"/>
      <c r="B6" s="1264"/>
      <c r="C6" s="1264"/>
      <c r="D6" s="1264"/>
      <c r="E6" s="5470"/>
      <c r="F6" s="5470"/>
      <c r="G6" s="5470"/>
      <c r="H6" s="5470"/>
      <c r="I6" s="5471" t="str">
        <f>S5&amp;".1"</f>
        <v>.1</v>
      </c>
      <c r="J6" s="1264"/>
      <c r="K6" s="1264"/>
      <c r="L6" s="1267" t="s">
        <v>496</v>
      </c>
      <c r="M6" s="448"/>
      <c r="N6" s="448"/>
      <c r="O6" s="448"/>
      <c r="P6" s="5473">
        <v>1</v>
      </c>
      <c r="Q6" s="1402"/>
      <c r="R6" s="294"/>
      <c r="S6" s="967"/>
      <c r="T6" s="1304"/>
      <c r="U6" s="1305"/>
      <c r="V6" s="5501"/>
      <c r="W6" s="5501"/>
      <c r="X6" s="5501"/>
      <c r="Y6" s="5501"/>
      <c r="Z6" s="5501"/>
      <c r="AA6" s="5501"/>
      <c r="AB6" s="5501"/>
      <c r="AC6" s="5502"/>
      <c r="AD6" s="5500"/>
      <c r="AE6" s="5501"/>
      <c r="AF6" s="5501"/>
      <c r="AG6" s="5501"/>
      <c r="AH6" s="5501"/>
      <c r="AI6" s="5501"/>
      <c r="AJ6" s="5501"/>
      <c r="AK6" s="5501"/>
      <c r="AL6" s="5501"/>
      <c r="AM6" s="5501"/>
      <c r="AN6" s="5501"/>
      <c r="AO6" s="5501"/>
      <c r="AP6" s="5501"/>
      <c r="AQ6" s="5501"/>
      <c r="AR6" s="5501"/>
      <c r="AS6" s="5501"/>
      <c r="AT6" s="5501"/>
      <c r="AU6" s="5501"/>
      <c r="AV6" s="5501"/>
      <c r="AW6" s="5501"/>
      <c r="AX6" s="5501"/>
      <c r="AY6" s="5501"/>
      <c r="AZ6" s="5501"/>
      <c r="BA6" s="5501"/>
      <c r="BB6" s="5502"/>
      <c r="BC6" s="1306"/>
      <c r="BE6" s="438"/>
      <c r="BF6" s="438" t="str">
        <f t="shared" si="0"/>
        <v/>
      </c>
      <c r="BG6" s="438"/>
      <c r="BH6" s="438"/>
      <c r="BI6" s="449">
        <v>0</v>
      </c>
    </row>
    <row r="7" spans="1:61" s="4275" customFormat="1" ht="14.25" hidden="1" customHeight="1">
      <c r="A7" s="1264"/>
      <c r="B7" s="1264"/>
      <c r="C7" s="1264"/>
      <c r="D7" s="1264"/>
      <c r="E7" s="5470"/>
      <c r="F7" s="5470"/>
      <c r="G7" s="5470"/>
      <c r="H7" s="5470"/>
      <c r="I7" s="5472"/>
      <c r="J7" s="5471" t="str">
        <f>S5&amp;".1"</f>
        <v>.1</v>
      </c>
      <c r="K7" s="1264"/>
      <c r="L7" s="1267"/>
      <c r="M7" s="448"/>
      <c r="N7" s="448"/>
      <c r="O7" s="448"/>
      <c r="P7" s="5473"/>
      <c r="Q7" s="5473">
        <v>1</v>
      </c>
      <c r="R7" s="295"/>
      <c r="S7" s="967"/>
      <c r="T7" s="1320"/>
      <c r="U7" s="1305"/>
      <c r="V7" s="5501"/>
      <c r="W7" s="5501"/>
      <c r="X7" s="5501"/>
      <c r="Y7" s="5501"/>
      <c r="Z7" s="5501"/>
      <c r="AA7" s="5501"/>
      <c r="AB7" s="5501"/>
      <c r="AC7" s="5502"/>
      <c r="AD7" s="5500"/>
      <c r="AE7" s="5501"/>
      <c r="AF7" s="5501"/>
      <c r="AG7" s="5501"/>
      <c r="AH7" s="5501"/>
      <c r="AI7" s="5501"/>
      <c r="AJ7" s="5501"/>
      <c r="AK7" s="5501"/>
      <c r="AL7" s="5501"/>
      <c r="AM7" s="5501"/>
      <c r="AN7" s="5501"/>
      <c r="AO7" s="5501"/>
      <c r="AP7" s="5501"/>
      <c r="AQ7" s="5501"/>
      <c r="AR7" s="5501"/>
      <c r="AS7" s="5501"/>
      <c r="AT7" s="5501"/>
      <c r="AU7" s="5501"/>
      <c r="AV7" s="5501"/>
      <c r="AW7" s="5501"/>
      <c r="AX7" s="5501"/>
      <c r="AY7" s="5501"/>
      <c r="AZ7" s="5501"/>
      <c r="BA7" s="5501"/>
      <c r="BB7" s="5502"/>
      <c r="BC7" s="1306"/>
      <c r="BE7" s="438"/>
      <c r="BF7" s="438" t="str">
        <f t="shared" si="0"/>
        <v/>
      </c>
      <c r="BG7" s="438"/>
      <c r="BH7" s="438"/>
      <c r="BI7" s="449">
        <v>0</v>
      </c>
    </row>
    <row r="8" spans="1:61" ht="11.25" hidden="1" customHeight="1">
      <c r="A8" s="1284"/>
      <c r="B8" s="1284"/>
      <c r="C8" s="1284"/>
      <c r="D8" s="1284"/>
      <c r="E8" s="5470"/>
      <c r="F8" s="5470"/>
      <c r="G8" s="5470"/>
      <c r="H8" s="5470"/>
      <c r="I8" s="5472"/>
      <c r="J8" s="5472"/>
      <c r="K8" s="5471" t="e">
        <f>S4&amp;".1"</f>
        <v>#N/A</v>
      </c>
      <c r="L8" s="1285"/>
      <c r="P8" s="5473"/>
      <c r="Q8" s="5473"/>
      <c r="R8" s="5529">
        <v>1</v>
      </c>
      <c r="S8" s="5526" t="e">
        <f>$K8</f>
        <v>#N/A</v>
      </c>
      <c r="T8" s="5546"/>
      <c r="U8" s="238"/>
      <c r="V8" s="689"/>
      <c r="W8" s="1178"/>
      <c r="X8" s="689"/>
      <c r="Y8" s="1178"/>
      <c r="Z8" s="1654"/>
      <c r="AA8" s="1390" t="s">
        <v>66</v>
      </c>
      <c r="AB8" s="1654"/>
      <c r="AC8" s="1390" t="s">
        <v>66</v>
      </c>
      <c r="AD8" s="5399" t="s">
        <v>66</v>
      </c>
      <c r="AE8" s="5522"/>
      <c r="AF8" s="5427">
        <v>1</v>
      </c>
      <c r="AG8" s="5545"/>
      <c r="AH8" s="5338" t="s">
        <v>66</v>
      </c>
      <c r="AI8" s="5522"/>
      <c r="AJ8" s="5427">
        <v>1</v>
      </c>
      <c r="AK8" s="5536" t="s">
        <v>28</v>
      </c>
      <c r="AL8" s="5338" t="s">
        <v>66</v>
      </c>
      <c r="AM8" s="5404"/>
      <c r="AN8" s="5427">
        <v>1</v>
      </c>
      <c r="AO8" s="5549"/>
      <c r="AP8" s="5550" t="s">
        <v>66</v>
      </c>
      <c r="AQ8" s="249"/>
      <c r="AR8" s="1407">
        <v>1</v>
      </c>
      <c r="AS8" s="1413" t="s">
        <v>28</v>
      </c>
      <c r="AT8" s="689"/>
      <c r="AU8" s="1178"/>
      <c r="AV8" s="689"/>
      <c r="AW8" s="1178"/>
      <c r="AX8" s="1654"/>
      <c r="AY8" s="1390" t="s">
        <v>66</v>
      </c>
      <c r="AZ8" s="1654"/>
      <c r="BA8" s="1390" t="s">
        <v>66</v>
      </c>
      <c r="BB8" s="1269"/>
      <c r="BC8" s="5492" t="s">
        <v>591</v>
      </c>
      <c r="BE8" s="438"/>
      <c r="BF8" s="438" t="str">
        <f t="shared" si="0"/>
        <v/>
      </c>
      <c r="BG8" s="438"/>
      <c r="BH8" s="438"/>
      <c r="BI8" s="1076">
        <v>0</v>
      </c>
    </row>
    <row r="9" spans="1:61" ht="11.25" hidden="1" customHeight="1">
      <c r="A9" s="1284"/>
      <c r="B9" s="1284"/>
      <c r="C9" s="1284"/>
      <c r="D9" s="1284"/>
      <c r="E9" s="5470"/>
      <c r="F9" s="5470"/>
      <c r="G9" s="5470"/>
      <c r="H9" s="5470"/>
      <c r="I9" s="5472"/>
      <c r="J9" s="5472"/>
      <c r="K9" s="5471"/>
      <c r="L9" s="1285"/>
      <c r="P9" s="5473"/>
      <c r="Q9" s="5473"/>
      <c r="R9" s="5529"/>
      <c r="S9" s="5527"/>
      <c r="T9" s="5547"/>
      <c r="U9" s="238"/>
      <c r="V9" s="1314"/>
      <c r="W9" s="1417"/>
      <c r="X9" s="1314"/>
      <c r="Y9" s="1417"/>
      <c r="Z9" s="1314"/>
      <c r="AA9" s="1314"/>
      <c r="AB9" s="1314"/>
      <c r="AC9" s="1314"/>
      <c r="AD9" s="5400"/>
      <c r="AE9" s="5522"/>
      <c r="AF9" s="5427"/>
      <c r="AG9" s="5545"/>
      <c r="AH9" s="5338"/>
      <c r="AI9" s="5522"/>
      <c r="AJ9" s="5427"/>
      <c r="AK9" s="5536"/>
      <c r="AL9" s="5338"/>
      <c r="AM9" s="5409"/>
      <c r="AN9" s="5427"/>
      <c r="AO9" s="5549"/>
      <c r="AP9" s="5551"/>
      <c r="AQ9" s="254"/>
      <c r="AR9" s="354"/>
      <c r="AS9" s="354" t="s">
        <v>592</v>
      </c>
      <c r="AT9" s="1314"/>
      <c r="AU9" s="1417"/>
      <c r="AV9" s="1314"/>
      <c r="AW9" s="1417"/>
      <c r="AX9" s="1314"/>
      <c r="AY9" s="1314"/>
      <c r="AZ9" s="1314"/>
      <c r="BA9" s="1314"/>
      <c r="BB9" s="1318"/>
      <c r="BC9" s="5493"/>
      <c r="BE9" s="438"/>
      <c r="BF9" s="438"/>
      <c r="BG9" s="438"/>
      <c r="BH9" s="438"/>
      <c r="BI9" s="1076">
        <v>0</v>
      </c>
    </row>
    <row r="10" spans="1:61" ht="11.25" hidden="1" customHeight="1">
      <c r="A10" s="1284"/>
      <c r="B10" s="1284"/>
      <c r="C10" s="1284"/>
      <c r="D10" s="1284"/>
      <c r="E10" s="5470"/>
      <c r="F10" s="5470"/>
      <c r="G10" s="5470"/>
      <c r="H10" s="5470"/>
      <c r="I10" s="5472"/>
      <c r="J10" s="5472"/>
      <c r="K10" s="5471"/>
      <c r="L10" s="1285"/>
      <c r="P10" s="5473"/>
      <c r="Q10" s="5473"/>
      <c r="R10" s="5529"/>
      <c r="S10" s="5527"/>
      <c r="T10" s="5547"/>
      <c r="U10" s="238"/>
      <c r="V10" s="1314"/>
      <c r="W10" s="1417"/>
      <c r="X10" s="1314"/>
      <c r="Y10" s="1417"/>
      <c r="Z10" s="1314"/>
      <c r="AA10" s="1314"/>
      <c r="AB10" s="1314"/>
      <c r="AC10" s="1314"/>
      <c r="AD10" s="5400"/>
      <c r="AE10" s="5522"/>
      <c r="AF10" s="5427"/>
      <c r="AG10" s="5545"/>
      <c r="AH10" s="5338"/>
      <c r="AI10" s="5522"/>
      <c r="AJ10" s="5427"/>
      <c r="AK10" s="5536"/>
      <c r="AL10" s="5338"/>
      <c r="AM10" s="254"/>
      <c r="AN10" s="1421"/>
      <c r="AO10" s="1421" t="s">
        <v>614</v>
      </c>
      <c r="AP10" s="354"/>
      <c r="AQ10" s="354"/>
      <c r="AR10" s="354"/>
      <c r="AS10" s="1314"/>
      <c r="AT10" s="1314"/>
      <c r="AU10" s="1417"/>
      <c r="AV10" s="1314"/>
      <c r="AW10" s="1417"/>
      <c r="AX10" s="1314"/>
      <c r="AY10" s="1314"/>
      <c r="AZ10" s="1314"/>
      <c r="BA10" s="1314"/>
      <c r="BB10" s="1318"/>
      <c r="BC10" s="5493"/>
      <c r="BE10" s="438"/>
      <c r="BF10" s="438"/>
      <c r="BG10" s="438"/>
      <c r="BH10" s="438"/>
      <c r="BI10" s="1076">
        <v>0</v>
      </c>
    </row>
    <row r="11" spans="1:61" ht="11.25" hidden="1" customHeight="1">
      <c r="A11" s="1284"/>
      <c r="B11" s="1284"/>
      <c r="C11" s="1284"/>
      <c r="D11" s="1284"/>
      <c r="E11" s="5470"/>
      <c r="F11" s="5470"/>
      <c r="G11" s="5470"/>
      <c r="H11" s="5470"/>
      <c r="I11" s="5472"/>
      <c r="J11" s="5472"/>
      <c r="K11" s="5471"/>
      <c r="L11" s="1285"/>
      <c r="P11" s="5473"/>
      <c r="Q11" s="5473"/>
      <c r="R11" s="5529"/>
      <c r="S11" s="5527"/>
      <c r="T11" s="5547"/>
      <c r="U11" s="238"/>
      <c r="V11" s="1314"/>
      <c r="W11" s="1417"/>
      <c r="X11" s="1314"/>
      <c r="Y11" s="1417"/>
      <c r="Z11" s="1314"/>
      <c r="AA11" s="1314"/>
      <c r="AB11" s="1314"/>
      <c r="AC11" s="1314"/>
      <c r="AD11" s="5400"/>
      <c r="AE11" s="5522"/>
      <c r="AF11" s="5427"/>
      <c r="AG11" s="5545"/>
      <c r="AH11" s="5338"/>
      <c r="AI11" s="232"/>
      <c r="AJ11" s="353"/>
      <c r="AK11" s="251" t="s">
        <v>615</v>
      </c>
      <c r="AL11" s="1314"/>
      <c r="AM11" s="1314"/>
      <c r="AN11" s="1314"/>
      <c r="AO11" s="1314"/>
      <c r="AP11" s="1314"/>
      <c r="AQ11" s="1314"/>
      <c r="AR11" s="1314"/>
      <c r="AS11" s="1314"/>
      <c r="AT11" s="1314"/>
      <c r="AU11" s="1417"/>
      <c r="AV11" s="1314"/>
      <c r="AW11" s="1417"/>
      <c r="AX11" s="1314"/>
      <c r="AY11" s="1314"/>
      <c r="AZ11" s="1314"/>
      <c r="BA11" s="1314"/>
      <c r="BB11" s="1318"/>
      <c r="BC11" s="5493"/>
      <c r="BE11" s="438"/>
      <c r="BF11" s="438"/>
      <c r="BG11" s="438"/>
      <c r="BH11" s="438"/>
      <c r="BI11" s="1076">
        <v>0</v>
      </c>
    </row>
    <row r="12" spans="1:61" ht="11.25" hidden="1" customHeight="1">
      <c r="A12" s="1284"/>
      <c r="B12" s="1284"/>
      <c r="C12" s="1284"/>
      <c r="D12" s="1284"/>
      <c r="E12" s="5470"/>
      <c r="F12" s="5470"/>
      <c r="G12" s="5470"/>
      <c r="H12" s="5470"/>
      <c r="I12" s="5472"/>
      <c r="J12" s="5472"/>
      <c r="K12" s="5471"/>
      <c r="L12" s="1285"/>
      <c r="P12" s="5473"/>
      <c r="Q12" s="5473"/>
      <c r="R12" s="5529"/>
      <c r="S12" s="5528"/>
      <c r="T12" s="5548"/>
      <c r="U12" s="238"/>
      <c r="V12" s="1314"/>
      <c r="W12" s="1315" t="str">
        <f>Z8&amp;"-"&amp;AB8</f>
        <v>-</v>
      </c>
      <c r="X12" s="1314"/>
      <c r="Y12" s="1315" t="str">
        <f>AB8&amp;"-"&amp;AD8</f>
        <v>-да</v>
      </c>
      <c r="Z12" s="1314"/>
      <c r="AA12" s="1314"/>
      <c r="AB12" s="1314"/>
      <c r="AC12" s="1314"/>
      <c r="AD12" s="5343"/>
      <c r="AE12" s="250"/>
      <c r="AF12" s="252"/>
      <c r="AG12" s="354" t="s">
        <v>595</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5493"/>
      <c r="BE12" s="438"/>
      <c r="BF12" s="438" t="str">
        <f t="shared" ref="BF12:BF18" si="1">IF(T12="","",T12)</f>
        <v/>
      </c>
      <c r="BG12" s="438"/>
      <c r="BH12" s="438"/>
      <c r="BI12" s="1076">
        <v>0</v>
      </c>
    </row>
    <row r="13" spans="1:61" ht="11.25" hidden="1" customHeight="1">
      <c r="A13" s="1284"/>
      <c r="B13" s="1284"/>
      <c r="C13" s="1284"/>
      <c r="D13" s="1284"/>
      <c r="E13" s="5470"/>
      <c r="F13" s="5470"/>
      <c r="G13" s="5470"/>
      <c r="H13" s="5470"/>
      <c r="I13" s="5472"/>
      <c r="J13" s="5471"/>
      <c r="K13" s="1284"/>
      <c r="L13" s="1285"/>
      <c r="P13" s="5473"/>
      <c r="Q13" s="5473"/>
      <c r="R13" s="294"/>
      <c r="S13" s="1199"/>
      <c r="T13" s="225" t="s">
        <v>558</v>
      </c>
      <c r="U13" s="305"/>
      <c r="V13" s="305"/>
      <c r="W13" s="305"/>
      <c r="X13" s="305"/>
      <c r="Y13" s="305"/>
      <c r="Z13" s="305"/>
      <c r="AA13" s="305"/>
      <c r="AB13" s="305"/>
      <c r="AC13" s="305"/>
      <c r="AD13" s="1426"/>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5494"/>
      <c r="BE13" s="438"/>
      <c r="BF13" s="438" t="str">
        <f t="shared" si="1"/>
        <v>Добавить строку</v>
      </c>
      <c r="BG13" s="438"/>
      <c r="BH13" s="438"/>
      <c r="BI13" s="1076">
        <v>0</v>
      </c>
    </row>
    <row r="14" spans="1:61" s="4275" customFormat="1" ht="14.25" hidden="1" customHeight="1">
      <c r="A14" s="1264"/>
      <c r="B14" s="1264"/>
      <c r="C14" s="1264"/>
      <c r="D14" s="1264"/>
      <c r="E14" s="5470"/>
      <c r="F14" s="5470"/>
      <c r="G14" s="5470"/>
      <c r="H14" s="5470"/>
      <c r="I14" s="5471"/>
      <c r="J14" s="1264"/>
      <c r="K14" s="1264"/>
      <c r="L14" s="1267"/>
      <c r="M14" s="448"/>
      <c r="N14" s="448"/>
      <c r="O14" s="448"/>
      <c r="P14" s="5473"/>
      <c r="Q14" s="1402"/>
      <c r="R14" s="294"/>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38"/>
      <c r="BF14" s="438" t="str">
        <f t="shared" si="1"/>
        <v/>
      </c>
      <c r="BG14" s="438"/>
      <c r="BH14" s="438"/>
      <c r="BI14" s="449">
        <v>0</v>
      </c>
    </row>
    <row r="15" spans="1:61" s="4275" customFormat="1" ht="14.25" hidden="1" customHeight="1">
      <c r="A15" s="1264"/>
      <c r="B15" s="1264"/>
      <c r="C15" s="1264"/>
      <c r="D15" s="1264"/>
      <c r="E15" s="5470"/>
      <c r="F15" s="5470"/>
      <c r="G15" s="5470"/>
      <c r="H15" s="5469"/>
      <c r="I15" s="1264"/>
      <c r="J15" s="1264"/>
      <c r="K15" s="1264"/>
      <c r="L15" s="1267"/>
      <c r="M15" s="1236"/>
      <c r="N15" s="1236"/>
      <c r="O15" s="456"/>
      <c r="P15" s="318"/>
      <c r="Q15" s="1265"/>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38"/>
      <c r="BF15" s="438" t="str">
        <f t="shared" si="1"/>
        <v/>
      </c>
      <c r="BG15" s="438"/>
      <c r="BH15" s="438"/>
      <c r="BI15" s="449">
        <v>0</v>
      </c>
    </row>
    <row r="16" spans="1:61" s="4275" customFormat="1" ht="14.25" hidden="1" customHeight="1">
      <c r="A16" s="1264"/>
      <c r="B16" s="1264"/>
      <c r="C16" s="1264"/>
      <c r="D16" s="1235"/>
      <c r="E16" s="5470"/>
      <c r="F16" s="5470"/>
      <c r="G16" s="5469"/>
      <c r="H16" s="1235"/>
      <c r="I16" s="1235"/>
      <c r="J16" s="1235"/>
      <c r="K16" s="1235"/>
      <c r="L16" s="1415"/>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21"/>
      <c r="BF16" s="721" t="str">
        <f t="shared" si="1"/>
        <v/>
      </c>
      <c r="BG16" s="721"/>
      <c r="BH16" s="721"/>
      <c r="BI16" s="456">
        <v>0</v>
      </c>
    </row>
    <row r="17" spans="1:61" s="4275" customFormat="1" ht="14.25" hidden="1" customHeight="1">
      <c r="A17" s="1264"/>
      <c r="B17" s="1264"/>
      <c r="C17" s="1235"/>
      <c r="D17" s="1235"/>
      <c r="E17" s="5470"/>
      <c r="F17" s="5469"/>
      <c r="G17" s="1235"/>
      <c r="H17" s="1235"/>
      <c r="I17" s="1235"/>
      <c r="J17" s="1235"/>
      <c r="K17" s="1235"/>
      <c r="L17" s="1415"/>
      <c r="M17" s="1242"/>
      <c r="N17" s="1242"/>
      <c r="P17" s="1237"/>
      <c r="Q17" s="1238"/>
      <c r="R17" s="1237"/>
      <c r="S17" s="1243"/>
      <c r="T17" s="1246" t="s">
        <v>312</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21"/>
      <c r="BF17" s="721" t="str">
        <f t="shared" si="1"/>
        <v>Добавить централизованную систему для дифференциации</v>
      </c>
      <c r="BG17" s="721"/>
      <c r="BH17" s="721"/>
      <c r="BI17" s="456">
        <v>0</v>
      </c>
    </row>
    <row r="18" spans="1:61" s="4275" customFormat="1" ht="14.25" hidden="1" customHeight="1">
      <c r="A18" s="1264"/>
      <c r="B18" s="1264"/>
      <c r="C18" s="1264"/>
      <c r="D18" s="1264"/>
      <c r="E18" s="5469"/>
      <c r="F18" s="1264"/>
      <c r="G18" s="1264"/>
      <c r="H18" s="1264"/>
      <c r="I18" s="1264"/>
      <c r="J18" s="1264"/>
      <c r="K18" s="1264"/>
      <c r="L18" s="1267"/>
      <c r="M18" s="1242"/>
      <c r="N18" s="1242"/>
      <c r="O18" s="456"/>
      <c r="P18" s="318"/>
      <c r="Q18" s="1265"/>
      <c r="R18" s="318"/>
      <c r="S18" s="1243"/>
      <c r="T18" s="1246" t="s">
        <v>360</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38"/>
      <c r="BF18" s="438" t="str">
        <f t="shared" si="1"/>
        <v>Добавить территорию для дифференциации</v>
      </c>
      <c r="BG18" s="438"/>
      <c r="BH18" s="438"/>
      <c r="BI18" s="449">
        <v>0</v>
      </c>
    </row>
    <row r="19" spans="1:61" ht="14.25" hidden="1" customHeight="1">
      <c r="AC19" s="265"/>
      <c r="BA19" s="265"/>
      <c r="BI19" s="1076">
        <v>0</v>
      </c>
    </row>
    <row r="20" spans="1:61" ht="14.25" hidden="1" customHeight="1">
      <c r="AD20" s="1245" t="s">
        <v>19</v>
      </c>
      <c r="AE20" s="1422"/>
      <c r="AF20" s="486">
        <v>1</v>
      </c>
      <c r="AG20" s="1423"/>
      <c r="AH20" s="1245" t="s">
        <v>19</v>
      </c>
      <c r="AI20" s="1422"/>
      <c r="AJ20" s="486">
        <v>1</v>
      </c>
      <c r="AK20" s="1423"/>
      <c r="AL20" s="1245" t="s">
        <v>19</v>
      </c>
      <c r="AM20" s="1424"/>
      <c r="AN20" s="486">
        <v>1</v>
      </c>
      <c r="AO20" s="1425"/>
      <c r="AP20" s="1245" t="s">
        <v>19</v>
      </c>
      <c r="AQ20" s="1424"/>
      <c r="AR20" s="486">
        <v>1</v>
      </c>
      <c r="AS20" s="1425"/>
      <c r="AT20" s="263"/>
      <c r="AU20" s="322"/>
      <c r="AV20" s="263"/>
      <c r="AW20" s="322"/>
      <c r="AX20" s="1656"/>
      <c r="AY20" s="1406" t="s">
        <v>66</v>
      </c>
      <c r="AZ20" s="1656"/>
      <c r="BA20" s="1406" t="s">
        <v>66</v>
      </c>
      <c r="BI20" s="1076">
        <v>0</v>
      </c>
    </row>
    <row r="21" spans="1:61" ht="14.25" hidden="1" customHeight="1">
      <c r="BD21" s="434"/>
      <c r="BE21" s="434"/>
      <c r="BF21" s="434"/>
      <c r="BG21" s="434"/>
      <c r="BH21" s="434"/>
      <c r="BI21" s="1076">
        <v>0</v>
      </c>
    </row>
    <row r="22" spans="1:61" ht="14.25" hidden="1" customHeight="1">
      <c r="O22" s="1288" t="s">
        <v>508</v>
      </c>
      <c r="Z22" s="1266"/>
      <c r="AB22" s="1266"/>
      <c r="AC22" s="265"/>
      <c r="AX22" s="1266"/>
      <c r="AZ22" s="1266"/>
      <c r="BA22" s="265"/>
      <c r="BD22" s="434"/>
      <c r="BE22" s="434"/>
      <c r="BF22" s="434"/>
      <c r="BG22" s="434"/>
      <c r="BH22" s="434"/>
      <c r="BI22" s="1076">
        <v>0</v>
      </c>
    </row>
    <row r="23" spans="1:61" ht="14.25" hidden="1" customHeight="1">
      <c r="AC23" s="265"/>
      <c r="BA23" s="265"/>
      <c r="BD23" s="434"/>
      <c r="BE23" s="434"/>
      <c r="BF23" s="434"/>
      <c r="BG23" s="434"/>
      <c r="BH23" s="434"/>
      <c r="BI23" s="1076">
        <v>0</v>
      </c>
    </row>
    <row r="24" spans="1:61" s="4305" customFormat="1" ht="14.25" hidden="1" customHeight="1">
      <c r="M24" s="1429"/>
      <c r="N24" s="1429"/>
      <c r="O24" s="1430" t="s">
        <v>509</v>
      </c>
      <c r="P24" s="1429"/>
      <c r="Q24" s="1431"/>
      <c r="R24" s="1431"/>
      <c r="AA24" s="1428" t="s">
        <v>511</v>
      </c>
      <c r="AC24" s="1428" t="s">
        <v>512</v>
      </c>
      <c r="AD24" s="1428" t="s">
        <v>559</v>
      </c>
      <c r="AH24" s="1428" t="s">
        <v>559</v>
      </c>
      <c r="AK24" s="1428" t="s">
        <v>596</v>
      </c>
      <c r="AL24" s="1428" t="s">
        <v>559</v>
      </c>
      <c r="AP24" s="1428" t="s">
        <v>559</v>
      </c>
      <c r="AY24" s="1428" t="s">
        <v>511</v>
      </c>
      <c r="BA24" s="1428" t="s">
        <v>512</v>
      </c>
      <c r="BD24" s="1432"/>
      <c r="BE24" s="1432"/>
      <c r="BF24" s="1432"/>
      <c r="BG24" s="1432"/>
      <c r="BH24" s="1432"/>
      <c r="BI24" s="1428">
        <v>0</v>
      </c>
    </row>
    <row r="25" spans="1:61" ht="14.25" hidden="1" customHeight="1">
      <c r="O25" s="1285"/>
      <c r="BD25" s="434"/>
      <c r="BE25" s="434"/>
      <c r="BF25" s="434"/>
      <c r="BG25" s="434"/>
      <c r="BH25" s="434"/>
      <c r="BI25" s="1076">
        <v>0</v>
      </c>
    </row>
    <row r="26" spans="1:61" ht="14.25" hidden="1" customHeight="1">
      <c r="O26" s="1285"/>
      <c r="BD26" s="434"/>
      <c r="BE26" s="434"/>
      <c r="BF26" s="434"/>
      <c r="BG26" s="434"/>
      <c r="BH26" s="434"/>
      <c r="BI26" s="1076">
        <v>0</v>
      </c>
    </row>
    <row r="27" spans="1:61" ht="14.65" customHeight="1">
      <c r="Q27" s="229"/>
      <c r="R27" s="314"/>
      <c r="S27" s="1196"/>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76">
        <v>14</v>
      </c>
    </row>
    <row r="28" spans="1:61" ht="14.65" customHeight="1">
      <c r="Q28" s="229"/>
      <c r="R28" s="314"/>
      <c r="S28" s="545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5450"/>
      <c r="U28" s="5450"/>
      <c r="V28" s="5450"/>
      <c r="W28" s="5450"/>
      <c r="X28" s="5450"/>
      <c r="Y28" s="5450"/>
      <c r="Z28" s="5450"/>
      <c r="AA28" s="5450"/>
      <c r="AB28" s="5450"/>
      <c r="AC28" s="5450"/>
      <c r="AD28" s="5450"/>
      <c r="AE28" s="5450"/>
      <c r="AF28" s="5450"/>
      <c r="AG28" s="5450"/>
      <c r="AH28" s="5450"/>
      <c r="AI28" s="5450"/>
      <c r="AJ28" s="5450"/>
      <c r="AK28" s="5450"/>
      <c r="AL28" s="5450"/>
      <c r="AM28" s="5450"/>
      <c r="AN28" s="5450"/>
      <c r="AO28" s="5450"/>
      <c r="AP28" s="5450"/>
      <c r="AQ28" s="5450"/>
      <c r="AR28" s="5450"/>
      <c r="AS28" s="5450"/>
      <c r="AT28" s="5450"/>
      <c r="AU28" s="5450"/>
      <c r="AV28" s="5450"/>
      <c r="AW28" s="5450"/>
      <c r="AX28" s="5450"/>
      <c r="AY28" s="5450"/>
      <c r="AZ28" s="5450"/>
      <c r="BA28" s="1164"/>
      <c r="BI28" s="1076">
        <v>14</v>
      </c>
    </row>
    <row r="29" spans="1:61" ht="14.65" customHeight="1">
      <c r="Q29" s="229"/>
      <c r="R29" s="314"/>
      <c r="S29" s="5423" t="str">
        <f>IF(org=0,"Не определено",org)</f>
        <v>КГУП "Примтеплоэнерго"</v>
      </c>
      <c r="T29" s="5423"/>
      <c r="U29" s="5423"/>
      <c r="V29" s="5423"/>
      <c r="W29" s="5423"/>
      <c r="X29" s="5423"/>
      <c r="Y29" s="5423"/>
      <c r="Z29" s="5423"/>
      <c r="AA29" s="5423"/>
      <c r="AB29" s="5423"/>
      <c r="AC29" s="5423"/>
      <c r="AD29" s="5423"/>
      <c r="AE29" s="5423"/>
      <c r="AF29" s="5423"/>
      <c r="AG29" s="5423"/>
      <c r="AH29" s="5423"/>
      <c r="AI29" s="5423"/>
      <c r="AJ29" s="5423"/>
      <c r="AK29" s="5423"/>
      <c r="AL29" s="5423"/>
      <c r="AM29" s="5423"/>
      <c r="AN29" s="5423"/>
      <c r="AO29" s="5423"/>
      <c r="AP29" s="5423"/>
      <c r="AQ29" s="5423"/>
      <c r="AR29" s="5423"/>
      <c r="AS29" s="5423"/>
      <c r="AT29" s="5423"/>
      <c r="AU29" s="5423"/>
      <c r="AV29" s="5423"/>
      <c r="AW29" s="5423"/>
      <c r="AX29" s="5423"/>
      <c r="AY29" s="5423"/>
      <c r="AZ29" s="5423"/>
      <c r="BA29" s="1164"/>
      <c r="BI29" s="1076">
        <v>14</v>
      </c>
    </row>
    <row r="30" spans="1:61" ht="14.25" hidden="1" customHeight="1">
      <c r="Q30" s="229"/>
      <c r="R30" s="314"/>
      <c r="S30" s="1196"/>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76">
        <v>0</v>
      </c>
    </row>
    <row r="31" spans="1:61" s="4284" customFormat="1" ht="25.5" hidden="1" customHeight="1">
      <c r="A31" s="1289"/>
      <c r="B31" s="1289"/>
      <c r="C31" s="1289"/>
      <c r="D31" s="1289"/>
      <c r="E31" s="1289"/>
      <c r="F31" s="1289"/>
      <c r="G31" s="1289"/>
      <c r="H31" s="1289"/>
      <c r="I31" s="1289"/>
      <c r="J31" s="1289"/>
      <c r="K31" s="1289"/>
      <c r="L31" s="1290"/>
      <c r="M31" s="1289"/>
      <c r="N31" s="1289"/>
      <c r="O31" s="1289"/>
      <c r="P31" s="1289"/>
      <c r="Q31" s="1289"/>
      <c r="S31" s="5460" t="s">
        <v>42</v>
      </c>
      <c r="T31" s="5460"/>
      <c r="U31" s="1293"/>
      <c r="V31" s="5462" t="str">
        <f>IF(TITLE_NAME_OR_PR_CHANGE="",IF(TITLE_NAME_OR_PR="","",TITLE_NAME_OR_PR),TITLE_NAME_OR_PR_CHANGE)</f>
        <v/>
      </c>
      <c r="W31" s="5462"/>
      <c r="X31" s="5462"/>
      <c r="Y31" s="5462"/>
      <c r="Z31" s="5462"/>
      <c r="AA31" s="5462"/>
      <c r="AB31" s="5462"/>
      <c r="AC31" s="264"/>
      <c r="AD31" s="5462" t="str">
        <f>IF(TITLE_NAME_OR_PR_CHANGE="",IF(TITLE_NAME_OR_PR="","",TITLE_NAME_OR_PR),TITLE_NAME_OR_PR_CHANGE)</f>
        <v/>
      </c>
      <c r="AE31" s="5462"/>
      <c r="AF31" s="5462"/>
      <c r="AG31" s="5462"/>
      <c r="AH31" s="5462"/>
      <c r="AI31" s="5462"/>
      <c r="AJ31" s="5462"/>
      <c r="AK31" s="5462"/>
      <c r="AL31" s="5462"/>
      <c r="AM31" s="5462"/>
      <c r="AN31" s="5462"/>
      <c r="AO31" s="5462"/>
      <c r="AP31" s="5462"/>
      <c r="AQ31" s="5462"/>
      <c r="AR31" s="5462"/>
      <c r="AS31" s="5462"/>
      <c r="AT31" s="5462"/>
      <c r="AU31" s="5462"/>
      <c r="AV31" s="5462"/>
      <c r="AW31" s="5462"/>
      <c r="AX31" s="5462"/>
      <c r="AY31" s="5462"/>
      <c r="AZ31" s="5462"/>
      <c r="BA31" s="264"/>
      <c r="BB31" s="264"/>
      <c r="BC31" s="218"/>
      <c r="BD31" s="306"/>
      <c r="BE31" s="306"/>
      <c r="BF31" s="306"/>
      <c r="BG31" s="306"/>
      <c r="BH31" s="306"/>
      <c r="BI31" s="356">
        <v>0</v>
      </c>
    </row>
    <row r="32" spans="1:61" s="4284" customFormat="1" ht="18.75" hidden="1" customHeight="1">
      <c r="A32" s="1289"/>
      <c r="B32" s="1289"/>
      <c r="C32" s="1289"/>
      <c r="D32" s="1289"/>
      <c r="E32" s="1289"/>
      <c r="F32" s="1289"/>
      <c r="G32" s="1289"/>
      <c r="H32" s="1289"/>
      <c r="I32" s="1289"/>
      <c r="J32" s="1289"/>
      <c r="K32" s="1289"/>
      <c r="L32" s="1290"/>
      <c r="M32" s="1289"/>
      <c r="N32" s="1289"/>
      <c r="O32" s="1289"/>
      <c r="P32" s="1289"/>
      <c r="Q32" s="1289"/>
      <c r="S32" s="5460" t="s">
        <v>514</v>
      </c>
      <c r="T32" s="5460"/>
      <c r="U32" s="1293"/>
      <c r="V32" s="5461">
        <f>IF(TITLE_DATE_PR_CHANGE="",IF(TITLE_DATE_PR="","",TITLE_DATE_PR),TITLE_DATE_PR_CHANGE)</f>
        <v>45649.605891203704</v>
      </c>
      <c r="W32" s="5461"/>
      <c r="X32" s="5461"/>
      <c r="Y32" s="5461"/>
      <c r="Z32" s="5461"/>
      <c r="AA32" s="5461"/>
      <c r="AB32" s="5461"/>
      <c r="AC32" s="264"/>
      <c r="AD32" s="5461">
        <f>IF(TITLE_DATE_PR_CHANGE="",IF(TITLE_DATE_PR="","",TITLE_DATE_PR),TITLE_DATE_PR_CHANGE)</f>
        <v>45649.605891203704</v>
      </c>
      <c r="AE32" s="5461"/>
      <c r="AF32" s="5461"/>
      <c r="AG32" s="5461"/>
      <c r="AH32" s="5461"/>
      <c r="AI32" s="5461"/>
      <c r="AJ32" s="5461"/>
      <c r="AK32" s="5461"/>
      <c r="AL32" s="5461"/>
      <c r="AM32" s="5461"/>
      <c r="AN32" s="5461"/>
      <c r="AO32" s="5461"/>
      <c r="AP32" s="5461"/>
      <c r="AQ32" s="5461"/>
      <c r="AR32" s="5461"/>
      <c r="AS32" s="5461"/>
      <c r="AT32" s="5461"/>
      <c r="AU32" s="5461"/>
      <c r="AV32" s="5461"/>
      <c r="AW32" s="5461"/>
      <c r="AX32" s="5461"/>
      <c r="AY32" s="5461"/>
      <c r="AZ32" s="5461"/>
      <c r="BA32" s="264"/>
      <c r="BB32" s="264"/>
      <c r="BC32" s="218"/>
      <c r="BD32" s="306"/>
      <c r="BE32" s="306"/>
      <c r="BF32" s="306"/>
      <c r="BG32" s="306"/>
      <c r="BH32" s="306"/>
      <c r="BI32" s="356">
        <v>0</v>
      </c>
    </row>
    <row r="33" spans="1:61" s="4284" customFormat="1" ht="18.75" hidden="1" customHeight="1">
      <c r="A33" s="1289"/>
      <c r="B33" s="1289"/>
      <c r="C33" s="1289"/>
      <c r="D33" s="1289"/>
      <c r="E33" s="1289"/>
      <c r="F33" s="1289"/>
      <c r="G33" s="1289"/>
      <c r="H33" s="1289"/>
      <c r="I33" s="1289"/>
      <c r="J33" s="1289"/>
      <c r="K33" s="1289"/>
      <c r="L33" s="1290"/>
      <c r="M33" s="1289"/>
      <c r="N33" s="1289"/>
      <c r="O33" s="1289"/>
      <c r="P33" s="1289"/>
      <c r="Q33" s="1289"/>
      <c r="S33" s="5460" t="s">
        <v>515</v>
      </c>
      <c r="T33" s="5460"/>
      <c r="U33" s="1293"/>
      <c r="V33" s="5462" t="str">
        <f>IF(TITLE_NUMBER_PR_CHANGE="",IF(TITLE_NUMBER_PR="","",TITLE_NUMBER_PR),TITLE_NUMBER_PR_CHANGE)</f>
        <v>27-6414</v>
      </c>
      <c r="W33" s="5462"/>
      <c r="X33" s="5462"/>
      <c r="Y33" s="5462"/>
      <c r="Z33" s="5462"/>
      <c r="AA33" s="5462"/>
      <c r="AB33" s="5462"/>
      <c r="AC33" s="264"/>
      <c r="AD33" s="5462" t="str">
        <f>IF(TITLE_NUMBER_PR_CHANGE="",IF(TITLE_NUMBER_PR="","",TITLE_NUMBER_PR),TITLE_NUMBER_PR_CHANGE)</f>
        <v>27-6414</v>
      </c>
      <c r="AE33" s="5462"/>
      <c r="AF33" s="5462"/>
      <c r="AG33" s="5462"/>
      <c r="AH33" s="5462"/>
      <c r="AI33" s="5462"/>
      <c r="AJ33" s="5462"/>
      <c r="AK33" s="5462"/>
      <c r="AL33" s="5462"/>
      <c r="AM33" s="5462"/>
      <c r="AN33" s="5462"/>
      <c r="AO33" s="5462"/>
      <c r="AP33" s="5462"/>
      <c r="AQ33" s="5462"/>
      <c r="AR33" s="5462"/>
      <c r="AS33" s="5462"/>
      <c r="AT33" s="5462"/>
      <c r="AU33" s="5462"/>
      <c r="AV33" s="5462"/>
      <c r="AW33" s="5462"/>
      <c r="AX33" s="5462"/>
      <c r="AY33" s="5462"/>
      <c r="AZ33" s="5462"/>
      <c r="BA33" s="264"/>
      <c r="BB33" s="264"/>
      <c r="BC33" s="218"/>
      <c r="BD33" s="306"/>
      <c r="BE33" s="306"/>
      <c r="BF33" s="306"/>
      <c r="BG33" s="306"/>
      <c r="BH33" s="306"/>
      <c r="BI33" s="356">
        <v>0</v>
      </c>
    </row>
    <row r="34" spans="1:61" s="4284" customFormat="1" ht="18.75" hidden="1" customHeight="1">
      <c r="A34" s="1289"/>
      <c r="B34" s="1289"/>
      <c r="C34" s="1289"/>
      <c r="D34" s="1289"/>
      <c r="E34" s="1289"/>
      <c r="F34" s="1289"/>
      <c r="G34" s="1289"/>
      <c r="H34" s="1289"/>
      <c r="I34" s="1289"/>
      <c r="J34" s="1289"/>
      <c r="K34" s="1289"/>
      <c r="L34" s="1290"/>
      <c r="M34" s="1289"/>
      <c r="N34" s="1289"/>
      <c r="O34" s="1289"/>
      <c r="P34" s="1289"/>
      <c r="Q34" s="1289"/>
      <c r="S34" s="5460" t="s">
        <v>43</v>
      </c>
      <c r="T34" s="5460"/>
      <c r="U34" s="1293"/>
      <c r="V34" s="5462" t="str">
        <f>IF(TITLE_IST_PUB_CHANGE="",IF(TITLE_IST_PUB="","",TITLE_IST_PUB),TITLE_IST_PUB_CHANGE)</f>
        <v/>
      </c>
      <c r="W34" s="5462"/>
      <c r="X34" s="5462"/>
      <c r="Y34" s="5462"/>
      <c r="Z34" s="5462"/>
      <c r="AA34" s="5462"/>
      <c r="AB34" s="5462"/>
      <c r="AC34" s="264"/>
      <c r="AD34" s="5462" t="str">
        <f>IF(TITLE_IST_PUB_CHANGE="",IF(TITLE_IST_PUB="","",TITLE_IST_PUB),TITLE_IST_PUB_CHANGE)</f>
        <v/>
      </c>
      <c r="AE34" s="5462"/>
      <c r="AF34" s="5462"/>
      <c r="AG34" s="5462"/>
      <c r="AH34" s="5462"/>
      <c r="AI34" s="5462"/>
      <c r="AJ34" s="5462"/>
      <c r="AK34" s="5462"/>
      <c r="AL34" s="5462"/>
      <c r="AM34" s="5462"/>
      <c r="AN34" s="5462"/>
      <c r="AO34" s="5462"/>
      <c r="AP34" s="5462"/>
      <c r="AQ34" s="5462"/>
      <c r="AR34" s="5462"/>
      <c r="AS34" s="5462"/>
      <c r="AT34" s="5462"/>
      <c r="AU34" s="5462"/>
      <c r="AV34" s="5462"/>
      <c r="AW34" s="5462"/>
      <c r="AX34" s="5462"/>
      <c r="AY34" s="5462"/>
      <c r="AZ34" s="5462"/>
      <c r="BA34" s="264"/>
      <c r="BB34" s="264"/>
      <c r="BC34" s="218"/>
      <c r="BD34" s="306"/>
      <c r="BE34" s="306"/>
      <c r="BF34" s="306"/>
      <c r="BG34" s="306"/>
      <c r="BH34" s="306"/>
      <c r="BI34" s="356">
        <v>0</v>
      </c>
    </row>
    <row r="35" spans="1:61" ht="14.25" customHeight="1">
      <c r="Q35" s="229"/>
      <c r="R35" s="314"/>
      <c r="S35" s="1196"/>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76">
        <v>0</v>
      </c>
    </row>
    <row r="36" spans="1:61" s="4284" customFormat="1" ht="18.75" customHeight="1">
      <c r="A36" s="1289"/>
      <c r="B36" s="1289"/>
      <c r="C36" s="1289"/>
      <c r="D36" s="1289"/>
      <c r="E36" s="1289"/>
      <c r="F36" s="1289"/>
      <c r="G36" s="1289"/>
      <c r="H36" s="1289"/>
      <c r="I36" s="1289"/>
      <c r="J36" s="1289"/>
      <c r="K36" s="1289"/>
      <c r="L36" s="1290"/>
      <c r="M36" s="1289"/>
      <c r="N36" s="1289"/>
      <c r="O36" s="1289"/>
      <c r="P36" s="1289"/>
      <c r="Q36" s="1289"/>
      <c r="S36" s="5460" t="s">
        <v>514</v>
      </c>
      <c r="T36" s="5460"/>
      <c r="U36" s="1293"/>
      <c r="V36" s="5461">
        <f>IF(TITLE_DATE_PR_CHANGE="",IF(TITLE_DATE_PR="","",TITLE_DATE_PR),TITLE_DATE_PR_CHANGE)</f>
        <v>45649.605891203704</v>
      </c>
      <c r="W36" s="5461"/>
      <c r="X36" s="5461"/>
      <c r="Y36" s="5461"/>
      <c r="Z36" s="5461"/>
      <c r="AA36" s="5461"/>
      <c r="AB36" s="5461"/>
      <c r="AC36" s="264"/>
      <c r="AD36" s="5461">
        <f>IF(TITLE_DATE_PR_CHANGE="",IF(TITLE_DATE_PR="","",TITLE_DATE_PR),TITLE_DATE_PR_CHANGE)</f>
        <v>45649.605891203704</v>
      </c>
      <c r="AE36" s="5461"/>
      <c r="AF36" s="5461"/>
      <c r="AG36" s="5461"/>
      <c r="AH36" s="5461"/>
      <c r="AI36" s="5461"/>
      <c r="AJ36" s="5461"/>
      <c r="AK36" s="5461"/>
      <c r="AL36" s="5461"/>
      <c r="AM36" s="5461"/>
      <c r="AN36" s="5461"/>
      <c r="AO36" s="5461"/>
      <c r="AP36" s="5461"/>
      <c r="AQ36" s="5461"/>
      <c r="AR36" s="5461"/>
      <c r="AS36" s="5461"/>
      <c r="AT36" s="5461"/>
      <c r="AU36" s="5461"/>
      <c r="AV36" s="5461"/>
      <c r="AW36" s="5461"/>
      <c r="AX36" s="5461"/>
      <c r="AY36" s="5461"/>
      <c r="AZ36" s="5461"/>
      <c r="BA36" s="264"/>
      <c r="BB36" s="264"/>
      <c r="BC36" s="218"/>
      <c r="BD36" s="306"/>
      <c r="BE36" s="306"/>
      <c r="BF36" s="306"/>
      <c r="BG36" s="306"/>
      <c r="BH36" s="306"/>
      <c r="BI36" s="356">
        <v>0</v>
      </c>
    </row>
    <row r="37" spans="1:61" s="4284" customFormat="1" ht="18.75" customHeight="1">
      <c r="A37" s="1289"/>
      <c r="B37" s="1289"/>
      <c r="C37" s="1289"/>
      <c r="D37" s="1289"/>
      <c r="E37" s="1289"/>
      <c r="F37" s="1289"/>
      <c r="G37" s="1289"/>
      <c r="H37" s="1289"/>
      <c r="I37" s="1289"/>
      <c r="J37" s="1289"/>
      <c r="K37" s="1289"/>
      <c r="L37" s="1290"/>
      <c r="M37" s="1289"/>
      <c r="N37" s="1289"/>
      <c r="O37" s="1289"/>
      <c r="P37" s="1289"/>
      <c r="Q37" s="1289"/>
      <c r="S37" s="5460" t="s">
        <v>515</v>
      </c>
      <c r="T37" s="5460"/>
      <c r="U37" s="1293"/>
      <c r="V37" s="5462" t="str">
        <f>IF(TITLE_NUMBER_PR_CHANGE="",IF(TITLE_NUMBER_PR="","",TITLE_NUMBER_PR),TITLE_NUMBER_PR_CHANGE)</f>
        <v>27-6414</v>
      </c>
      <c r="W37" s="5462"/>
      <c r="X37" s="5462"/>
      <c r="Y37" s="5462"/>
      <c r="Z37" s="5462"/>
      <c r="AA37" s="5462"/>
      <c r="AB37" s="5462"/>
      <c r="AC37" s="264"/>
      <c r="AD37" s="5462" t="str">
        <f>IF(TITLE_NUMBER_PR_CHANGE="",IF(TITLE_NUMBER_PR="","",TITLE_NUMBER_PR),TITLE_NUMBER_PR_CHANGE)</f>
        <v>27-6414</v>
      </c>
      <c r="AE37" s="5462"/>
      <c r="AF37" s="5462"/>
      <c r="AG37" s="5462"/>
      <c r="AH37" s="5462"/>
      <c r="AI37" s="5462"/>
      <c r="AJ37" s="5462"/>
      <c r="AK37" s="5462"/>
      <c r="AL37" s="5462"/>
      <c r="AM37" s="5462"/>
      <c r="AN37" s="5462"/>
      <c r="AO37" s="5462"/>
      <c r="AP37" s="5462"/>
      <c r="AQ37" s="5462"/>
      <c r="AR37" s="5462"/>
      <c r="AS37" s="5462"/>
      <c r="AT37" s="5462"/>
      <c r="AU37" s="5462"/>
      <c r="AV37" s="5462"/>
      <c r="AW37" s="5462"/>
      <c r="AX37" s="5462"/>
      <c r="AY37" s="5462"/>
      <c r="AZ37" s="5462"/>
      <c r="BA37" s="264"/>
      <c r="BB37" s="264"/>
      <c r="BC37" s="218"/>
      <c r="BD37" s="306"/>
      <c r="BE37" s="306"/>
      <c r="BF37" s="306"/>
      <c r="BG37" s="306"/>
      <c r="BH37" s="306"/>
      <c r="BI37" s="356">
        <v>0</v>
      </c>
    </row>
    <row r="38" spans="1:61" s="4284" customFormat="1" ht="0" hidden="1" customHeight="1">
      <c r="A38" s="1289"/>
      <c r="B38" s="1289"/>
      <c r="C38" s="1289"/>
      <c r="D38" s="1289"/>
      <c r="E38" s="1289"/>
      <c r="F38" s="1289"/>
      <c r="G38" s="1289"/>
      <c r="H38" s="1289"/>
      <c r="I38" s="1289"/>
      <c r="J38" s="1289"/>
      <c r="K38" s="1289"/>
      <c r="L38" s="1290"/>
      <c r="M38" s="1289"/>
      <c r="N38" s="1289"/>
      <c r="O38" s="1289"/>
      <c r="P38" s="1289"/>
      <c r="Q38" s="1289"/>
      <c r="S38" s="261"/>
      <c r="T38" s="261"/>
      <c r="U38" s="1409"/>
      <c r="V38" s="264"/>
      <c r="W38" s="264"/>
      <c r="X38" s="264"/>
      <c r="Y38" s="264"/>
      <c r="Z38" s="264"/>
      <c r="AA38" s="264"/>
      <c r="AB38" s="264"/>
      <c r="AC38" s="216" t="s">
        <v>518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518</v>
      </c>
      <c r="BD38" s="306"/>
      <c r="BE38" s="306"/>
      <c r="BF38" s="306"/>
      <c r="BG38" s="306"/>
      <c r="BH38" s="306"/>
      <c r="BI38" s="356">
        <v>0</v>
      </c>
    </row>
    <row r="39" spans="1:61" ht="14.65" customHeight="1">
      <c r="Q39" s="229"/>
      <c r="R39" s="314"/>
      <c r="S39" s="1196"/>
      <c r="T39" s="301"/>
      <c r="U39" s="1165"/>
      <c r="V39" s="5481"/>
      <c r="W39" s="5481"/>
      <c r="X39" s="5481"/>
      <c r="Y39" s="5481"/>
      <c r="Z39" s="5481"/>
      <c r="AA39" s="5481"/>
      <c r="AB39" s="5481"/>
      <c r="AC39" s="5481"/>
      <c r="AD39" s="5481"/>
      <c r="AE39" s="5481"/>
      <c r="AF39" s="5481"/>
      <c r="AG39" s="5481"/>
      <c r="AH39" s="5481"/>
      <c r="AI39" s="5481"/>
      <c r="AJ39" s="5481"/>
      <c r="AK39" s="5481"/>
      <c r="AL39" s="5481"/>
      <c r="AM39" s="5481"/>
      <c r="AN39" s="5481"/>
      <c r="AO39" s="5481"/>
      <c r="AP39" s="5481"/>
      <c r="AQ39" s="5481"/>
      <c r="AR39" s="5481"/>
      <c r="AS39" s="5481"/>
      <c r="AT39" s="5481"/>
      <c r="AU39" s="5481"/>
      <c r="AV39" s="5481"/>
      <c r="AW39" s="5481"/>
      <c r="AX39" s="5481"/>
      <c r="AY39" s="5481"/>
      <c r="AZ39" s="5481"/>
      <c r="BA39" s="5481"/>
      <c r="BI39" s="1076">
        <v>14</v>
      </c>
    </row>
    <row r="40" spans="1:61" ht="14.65" customHeight="1">
      <c r="Q40" s="229"/>
      <c r="R40" s="314"/>
      <c r="S40" s="5328" t="s">
        <v>393</v>
      </c>
      <c r="T40" s="5328"/>
      <c r="U40" s="5328"/>
      <c r="V40" s="5328"/>
      <c r="W40" s="5328"/>
      <c r="X40" s="5328"/>
      <c r="Y40" s="5328"/>
      <c r="Z40" s="5328"/>
      <c r="AA40" s="5328"/>
      <c r="AB40" s="5328"/>
      <c r="AC40" s="5328"/>
      <c r="AD40" s="5328"/>
      <c r="AE40" s="5328"/>
      <c r="AF40" s="5328"/>
      <c r="AG40" s="5328"/>
      <c r="AH40" s="5328"/>
      <c r="AI40" s="5328"/>
      <c r="AJ40" s="5328"/>
      <c r="AK40" s="5328"/>
      <c r="AL40" s="5328"/>
      <c r="AM40" s="5328"/>
      <c r="AN40" s="5328"/>
      <c r="AO40" s="5328"/>
      <c r="AP40" s="5328"/>
      <c r="AQ40" s="5328"/>
      <c r="AR40" s="5328"/>
      <c r="AS40" s="5328"/>
      <c r="AT40" s="5328"/>
      <c r="AU40" s="5328"/>
      <c r="AV40" s="5328"/>
      <c r="AW40" s="5328"/>
      <c r="AX40" s="5328"/>
      <c r="AY40" s="5328"/>
      <c r="AZ40" s="5328"/>
      <c r="BA40" s="5328"/>
      <c r="BB40" s="5328"/>
      <c r="BC40" s="5328" t="s">
        <v>394</v>
      </c>
      <c r="BI40" s="1076">
        <v>14</v>
      </c>
    </row>
    <row r="41" spans="1:61" ht="14.65" customHeight="1">
      <c r="Q41" s="229"/>
      <c r="R41" s="314"/>
      <c r="S41" s="5482" t="s">
        <v>88</v>
      </c>
      <c r="T41" s="5431" t="s">
        <v>597</v>
      </c>
      <c r="U41" s="239"/>
      <c r="V41" s="5483" t="s">
        <v>520</v>
      </c>
      <c r="W41" s="5484"/>
      <c r="X41" s="5484"/>
      <c r="Y41" s="5484"/>
      <c r="Z41" s="5484"/>
      <c r="AA41" s="5484"/>
      <c r="AB41" s="5485"/>
      <c r="AC41" s="5486" t="s">
        <v>521</v>
      </c>
      <c r="AD41" s="5515" t="s">
        <v>616</v>
      </c>
      <c r="AE41" s="5499"/>
      <c r="AF41" s="5499"/>
      <c r="AG41" s="5516"/>
      <c r="AH41" s="5515" t="s">
        <v>617</v>
      </c>
      <c r="AI41" s="5499"/>
      <c r="AJ41" s="5499"/>
      <c r="AK41" s="5516"/>
      <c r="AL41" s="5515" t="s">
        <v>618</v>
      </c>
      <c r="AM41" s="5499"/>
      <c r="AN41" s="5499"/>
      <c r="AO41" s="5516"/>
      <c r="AP41" s="5515" t="s">
        <v>601</v>
      </c>
      <c r="AQ41" s="5499"/>
      <c r="AR41" s="5499"/>
      <c r="AS41" s="5516"/>
      <c r="AT41" s="5483" t="s">
        <v>520</v>
      </c>
      <c r="AU41" s="5484"/>
      <c r="AV41" s="5484"/>
      <c r="AW41" s="5484"/>
      <c r="AX41" s="5484"/>
      <c r="AY41" s="5484"/>
      <c r="AZ41" s="5485"/>
      <c r="BA41" s="5486" t="s">
        <v>521</v>
      </c>
      <c r="BB41" s="5489" t="s">
        <v>523</v>
      </c>
      <c r="BC41" s="5328"/>
      <c r="BI41" s="1076">
        <v>14</v>
      </c>
    </row>
    <row r="42" spans="1:61" ht="35.65" customHeight="1">
      <c r="Q42" s="229"/>
      <c r="R42" s="314"/>
      <c r="S42" s="5482"/>
      <c r="T42" s="5431"/>
      <c r="U42" s="956"/>
      <c r="V42" s="5404" t="s">
        <v>602</v>
      </c>
      <c r="W42" s="5405"/>
      <c r="X42" s="5404" t="s">
        <v>603</v>
      </c>
      <c r="Y42" s="5405"/>
      <c r="Z42" s="5404" t="s">
        <v>604</v>
      </c>
      <c r="AA42" s="5511"/>
      <c r="AB42" s="5405"/>
      <c r="AC42" s="5487"/>
      <c r="AD42" s="5517"/>
      <c r="AE42" s="5518"/>
      <c r="AF42" s="5518"/>
      <c r="AG42" s="5530"/>
      <c r="AH42" s="5517"/>
      <c r="AI42" s="5518"/>
      <c r="AJ42" s="5518"/>
      <c r="AK42" s="5530"/>
      <c r="AL42" s="5517"/>
      <c r="AM42" s="5518"/>
      <c r="AN42" s="5518"/>
      <c r="AO42" s="5530"/>
      <c r="AP42" s="5517"/>
      <c r="AQ42" s="5518"/>
      <c r="AR42" s="5518"/>
      <c r="AS42" s="5530"/>
      <c r="AT42" s="5404" t="s">
        <v>619</v>
      </c>
      <c r="AU42" s="5405"/>
      <c r="AV42" s="5404" t="s">
        <v>620</v>
      </c>
      <c r="AW42" s="5405"/>
      <c r="AX42" s="5404" t="s">
        <v>604</v>
      </c>
      <c r="AY42" s="5511"/>
      <c r="AZ42" s="5405"/>
      <c r="BA42" s="5487"/>
      <c r="BB42" s="5490"/>
      <c r="BC42" s="5328"/>
      <c r="BI42" s="1076">
        <v>34</v>
      </c>
    </row>
    <row r="43" spans="1:61" ht="14.65" customHeight="1">
      <c r="Q43" s="229"/>
      <c r="R43" s="314"/>
      <c r="S43" s="5482"/>
      <c r="T43" s="5431"/>
      <c r="U43" s="956"/>
      <c r="V43" s="5409"/>
      <c r="W43" s="5410"/>
      <c r="X43" s="5409"/>
      <c r="Y43" s="5410"/>
      <c r="Z43" s="5409"/>
      <c r="AA43" s="5512"/>
      <c r="AB43" s="5410"/>
      <c r="AC43" s="5487"/>
      <c r="AD43" s="5517"/>
      <c r="AE43" s="5518"/>
      <c r="AF43" s="5518"/>
      <c r="AG43" s="5530"/>
      <c r="AH43" s="5517"/>
      <c r="AI43" s="5518"/>
      <c r="AJ43" s="5518"/>
      <c r="AK43" s="5530"/>
      <c r="AL43" s="5517"/>
      <c r="AM43" s="5518"/>
      <c r="AN43" s="5518"/>
      <c r="AO43" s="5530"/>
      <c r="AP43" s="5517"/>
      <c r="AQ43" s="5518"/>
      <c r="AR43" s="5518"/>
      <c r="AS43" s="5530"/>
      <c r="AT43" s="5409"/>
      <c r="AU43" s="5410"/>
      <c r="AV43" s="5409"/>
      <c r="AW43" s="5410"/>
      <c r="AX43" s="5409"/>
      <c r="AY43" s="5512"/>
      <c r="AZ43" s="5410"/>
      <c r="BA43" s="5487"/>
      <c r="BB43" s="5490"/>
      <c r="BC43" s="5328"/>
      <c r="BI43" s="1076">
        <v>14</v>
      </c>
    </row>
    <row r="44" spans="1:61" ht="14.65" customHeight="1">
      <c r="A44" s="1291"/>
      <c r="B44" s="1291" t="s">
        <v>167</v>
      </c>
      <c r="C44" s="1291" t="s">
        <v>168</v>
      </c>
      <c r="D44" s="1291" t="s">
        <v>169</v>
      </c>
      <c r="E44" s="1285" t="s">
        <v>528</v>
      </c>
      <c r="F44" s="1285" t="s">
        <v>529</v>
      </c>
      <c r="G44" s="1285" t="s">
        <v>530</v>
      </c>
      <c r="H44" s="1285" t="s">
        <v>531</v>
      </c>
      <c r="I44" s="1285" t="s">
        <v>532</v>
      </c>
      <c r="J44" s="1285" t="s">
        <v>533</v>
      </c>
      <c r="K44" s="1285" t="s">
        <v>534</v>
      </c>
      <c r="L44" s="1285" t="s">
        <v>509</v>
      </c>
      <c r="Q44" s="229"/>
      <c r="R44" s="314"/>
      <c r="S44" s="5482"/>
      <c r="T44" s="5431"/>
      <c r="U44" s="240"/>
      <c r="V44" s="1400" t="s">
        <v>568</v>
      </c>
      <c r="W44" s="1400" t="s">
        <v>569</v>
      </c>
      <c r="X44" s="1400" t="s">
        <v>568</v>
      </c>
      <c r="Y44" s="1400" t="s">
        <v>569</v>
      </c>
      <c r="Z44" s="1410" t="s">
        <v>537</v>
      </c>
      <c r="AA44" s="5436" t="s">
        <v>538</v>
      </c>
      <c r="AB44" s="5449"/>
      <c r="AC44" s="5488"/>
      <c r="AD44" s="5519"/>
      <c r="AE44" s="5520"/>
      <c r="AF44" s="5520"/>
      <c r="AG44" s="5521"/>
      <c r="AH44" s="5519"/>
      <c r="AI44" s="5520"/>
      <c r="AJ44" s="5520"/>
      <c r="AK44" s="5521"/>
      <c r="AL44" s="5519"/>
      <c r="AM44" s="5520"/>
      <c r="AN44" s="5520"/>
      <c r="AO44" s="5521"/>
      <c r="AP44" s="5519"/>
      <c r="AQ44" s="5520"/>
      <c r="AR44" s="5520"/>
      <c r="AS44" s="5521"/>
      <c r="AT44" s="1400" t="s">
        <v>568</v>
      </c>
      <c r="AU44" s="1400" t="s">
        <v>569</v>
      </c>
      <c r="AV44" s="1400" t="s">
        <v>568</v>
      </c>
      <c r="AW44" s="1400" t="s">
        <v>569</v>
      </c>
      <c r="AX44" s="1410" t="s">
        <v>537</v>
      </c>
      <c r="AY44" s="5436" t="s">
        <v>538</v>
      </c>
      <c r="AZ44" s="5449"/>
      <c r="BA44" s="5488"/>
      <c r="BB44" s="5491"/>
      <c r="BC44" s="5328"/>
      <c r="BI44" s="1076">
        <v>14</v>
      </c>
    </row>
    <row r="45" spans="1:61" s="4299" customFormat="1" ht="11.25" hidden="1" customHeight="1">
      <c r="A45" s="1291"/>
      <c r="B45" s="1291"/>
      <c r="C45" s="1291"/>
      <c r="D45" s="1291"/>
      <c r="E45" s="1291"/>
      <c r="F45" s="1291"/>
      <c r="G45" s="1291"/>
      <c r="H45" s="1291"/>
      <c r="I45" s="1291"/>
      <c r="J45" s="1291"/>
      <c r="K45" s="1291"/>
      <c r="L45" s="1285"/>
      <c r="M45" s="1283"/>
      <c r="N45" s="1283"/>
      <c r="O45" s="1283"/>
      <c r="P45" s="448"/>
      <c r="Q45" s="1175"/>
      <c r="R45" s="1175">
        <v>1</v>
      </c>
      <c r="S45" s="1198" t="s">
        <v>136</v>
      </c>
      <c r="T45" s="1176" t="s">
        <v>103</v>
      </c>
      <c r="U45" s="1166" t="str">
        <f ca="1">OFFSET(U45,0,-1)</f>
        <v>2</v>
      </c>
      <c r="V45" s="1403">
        <f t="shared" ref="V45:AA45" ca="1" si="2">OFFSET(V45,0,-1)+1</f>
        <v>3</v>
      </c>
      <c r="W45" s="1403">
        <f t="shared" ca="1" si="2"/>
        <v>4</v>
      </c>
      <c r="X45" s="1403">
        <f t="shared" ca="1" si="2"/>
        <v>5</v>
      </c>
      <c r="Y45" s="1403">
        <f t="shared" ca="1" si="2"/>
        <v>6</v>
      </c>
      <c r="Z45" s="1403">
        <f t="shared" ca="1" si="2"/>
        <v>7</v>
      </c>
      <c r="AA45" s="5480">
        <f t="shared" ca="1" si="2"/>
        <v>8</v>
      </c>
      <c r="AB45" s="5480"/>
      <c r="AC45" s="1403">
        <f ca="1">OFFSET(AC45,0,-2)+1</f>
        <v>9</v>
      </c>
      <c r="AD45" s="1403">
        <f ca="1">OFFSET(AD45,0,-1)+1</f>
        <v>10</v>
      </c>
      <c r="AE45" s="1403"/>
      <c r="AF45" s="1403"/>
      <c r="AG45" s="1403"/>
      <c r="AH45" s="1403"/>
      <c r="AI45" s="1403"/>
      <c r="AJ45" s="1403"/>
      <c r="AK45" s="1403"/>
      <c r="AL45" s="1403"/>
      <c r="AM45" s="1403"/>
      <c r="AN45" s="1403"/>
      <c r="AO45" s="1403"/>
      <c r="AP45" s="1403"/>
      <c r="AQ45" s="1403"/>
      <c r="AR45" s="1403"/>
      <c r="AS45" s="1403"/>
      <c r="AT45" s="1403"/>
      <c r="AU45" s="1403"/>
      <c r="AV45" s="1403"/>
      <c r="AW45" s="1403">
        <f ca="1">OFFSET(AW45,0,-1)+1</f>
        <v>1</v>
      </c>
      <c r="AX45" s="1403">
        <f ca="1">OFFSET(AX45,0,-1)+1</f>
        <v>2</v>
      </c>
      <c r="AY45" s="5480">
        <f ca="1">OFFSET(AY45,0,-1)+1</f>
        <v>3</v>
      </c>
      <c r="AZ45" s="5480"/>
      <c r="BA45" s="1403">
        <f ca="1">OFFSET(BA45,0,-2)+1</f>
        <v>4</v>
      </c>
      <c r="BB45" s="1166">
        <f ca="1">OFFSET(BB45,0,-1)</f>
        <v>4</v>
      </c>
      <c r="BC45" s="1403">
        <f ca="1">OFFSET(BC45,0,-1)+1</f>
        <v>5</v>
      </c>
      <c r="BD45" s="449"/>
      <c r="BE45" s="449"/>
      <c r="BF45" s="449"/>
      <c r="BG45" s="449"/>
      <c r="BH45" s="449"/>
      <c r="BI45" s="434">
        <v>0</v>
      </c>
    </row>
    <row r="46" spans="1:61" ht="21.95" customHeight="1">
      <c r="A46" s="1284" t="s">
        <v>369</v>
      </c>
      <c r="B46" s="1284"/>
      <c r="C46" s="1284"/>
      <c r="D46" s="1284"/>
      <c r="E46" s="5469">
        <v>1</v>
      </c>
      <c r="F46" s="1284"/>
      <c r="G46" s="1284"/>
      <c r="H46" s="1284"/>
      <c r="I46" s="1284"/>
      <c r="J46" s="1284"/>
      <c r="K46" s="1284"/>
      <c r="L46" s="1285"/>
      <c r="M46" s="1286"/>
      <c r="N46" s="1286"/>
      <c r="O46" s="1286"/>
      <c r="P46" s="1330"/>
      <c r="Q46" s="801"/>
      <c r="R46" s="293"/>
      <c r="S46" s="1414">
        <f>INDEX(PT_DIFFERENTIATION_NUM_NTAR,MATCH(A46,PT_DIFFERENTIATION_NTAR_ID,0))</f>
        <v>0</v>
      </c>
      <c r="T46" s="236" t="s">
        <v>155</v>
      </c>
      <c r="U46" s="238"/>
      <c r="V46" s="5464"/>
      <c r="W46" s="5464"/>
      <c r="X46" s="5464"/>
      <c r="Y46" s="5464"/>
      <c r="Z46" s="5464"/>
      <c r="AA46" s="5464"/>
      <c r="AB46" s="5464"/>
      <c r="AC46" s="5465"/>
      <c r="AD46" s="5463" t="str">
        <f>INDEX(PT_DIFFERENTIATION_NTAR,MATCH(A46,PT_DIFFERENTIATION_NTAR_ID,0))</f>
        <v/>
      </c>
      <c r="AE46" s="5464"/>
      <c r="AF46" s="5464"/>
      <c r="AG46" s="5464"/>
      <c r="AH46" s="5464"/>
      <c r="AI46" s="5464"/>
      <c r="AJ46" s="5464"/>
      <c r="AK46" s="5464"/>
      <c r="AL46" s="5464"/>
      <c r="AM46" s="5464"/>
      <c r="AN46" s="5464"/>
      <c r="AO46" s="5464"/>
      <c r="AP46" s="5464"/>
      <c r="AQ46" s="5464"/>
      <c r="AR46" s="5464"/>
      <c r="AS46" s="5464"/>
      <c r="AT46" s="5464"/>
      <c r="AU46" s="5464"/>
      <c r="AV46" s="5464"/>
      <c r="AW46" s="5464"/>
      <c r="AX46" s="5464"/>
      <c r="AY46" s="5464"/>
      <c r="AZ46" s="5464"/>
      <c r="BA46" s="5464"/>
      <c r="BB46" s="5465"/>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76">
        <v>21</v>
      </c>
    </row>
    <row r="47" spans="1:61" ht="21.95" customHeight="1">
      <c r="A47" s="1284" t="s">
        <v>369</v>
      </c>
      <c r="B47" s="1284" t="s">
        <v>370</v>
      </c>
      <c r="C47" s="1284"/>
      <c r="D47" s="1284"/>
      <c r="E47" s="5470"/>
      <c r="F47" s="5469">
        <v>1</v>
      </c>
      <c r="G47" s="1284"/>
      <c r="H47" s="1284"/>
      <c r="I47" s="1284"/>
      <c r="J47" s="1284"/>
      <c r="K47" s="1284"/>
      <c r="L47" s="1285"/>
      <c r="M47" s="1286"/>
      <c r="N47" s="1286"/>
      <c r="O47" s="1286"/>
      <c r="P47" s="1331"/>
      <c r="Q47" s="1332"/>
      <c r="R47" s="291"/>
      <c r="S47" s="1414" t="str">
        <f>INDEX(PT_DIFFERENTIATION_NUM_TER,MATCH(B47,PT_DIFFERENTIATION_TER_ID,0))</f>
        <v>.</v>
      </c>
      <c r="T47" s="246" t="s">
        <v>490</v>
      </c>
      <c r="U47" s="238"/>
      <c r="V47" s="5464"/>
      <c r="W47" s="5464"/>
      <c r="X47" s="5464"/>
      <c r="Y47" s="5464"/>
      <c r="Z47" s="5464"/>
      <c r="AA47" s="5464"/>
      <c r="AB47" s="5464"/>
      <c r="AC47" s="5465"/>
      <c r="AD47" s="5463" t="str">
        <f>INDEX(PT_DIFFERENTIATION_TER,MATCH(B47,PT_DIFFERENTIATION_TER_ID,0))</f>
        <v/>
      </c>
      <c r="AE47" s="5464"/>
      <c r="AF47" s="5464"/>
      <c r="AG47" s="5464"/>
      <c r="AH47" s="5464"/>
      <c r="AI47" s="5464"/>
      <c r="AJ47" s="5464"/>
      <c r="AK47" s="5464"/>
      <c r="AL47" s="5464"/>
      <c r="AM47" s="5464"/>
      <c r="AN47" s="5464"/>
      <c r="AO47" s="5464"/>
      <c r="AP47" s="5464"/>
      <c r="AQ47" s="5464"/>
      <c r="AR47" s="5464"/>
      <c r="AS47" s="5464"/>
      <c r="AT47" s="5464"/>
      <c r="AU47" s="5464"/>
      <c r="AV47" s="5464"/>
      <c r="AW47" s="5464"/>
      <c r="AX47" s="5464"/>
      <c r="AY47" s="5464"/>
      <c r="AZ47" s="5464"/>
      <c r="BA47" s="5464"/>
      <c r="BB47" s="5465"/>
      <c r="BC47" s="1179" t="s">
        <v>491</v>
      </c>
      <c r="BE47" s="438"/>
      <c r="BF47" s="438" t="str">
        <f t="shared" si="3"/>
        <v>Территория действия тарифа</v>
      </c>
      <c r="BG47" s="438"/>
      <c r="BH47" s="438"/>
      <c r="BI47" s="1076">
        <v>21</v>
      </c>
    </row>
    <row r="48" spans="1:61" ht="35.65" customHeight="1">
      <c r="A48" s="1284" t="s">
        <v>369</v>
      </c>
      <c r="B48" s="1284" t="s">
        <v>370</v>
      </c>
      <c r="C48" s="1284" t="s">
        <v>371</v>
      </c>
      <c r="D48" s="1284"/>
      <c r="E48" s="5470"/>
      <c r="F48" s="5470"/>
      <c r="G48" s="5469">
        <v>1</v>
      </c>
      <c r="H48" s="1284"/>
      <c r="I48" s="1284"/>
      <c r="J48" s="1284"/>
      <c r="K48" s="1284"/>
      <c r="L48" s="1285"/>
      <c r="M48" s="1286"/>
      <c r="N48" s="1286"/>
      <c r="O48" s="1286"/>
      <c r="P48" s="1333"/>
      <c r="Q48" s="1332"/>
      <c r="R48" s="291"/>
      <c r="S48" s="1414" t="str">
        <f>INDEX(PT_DIFFERENTIATION_NUM_CS,MATCH(C48,PT_DIFFERENTIATION_CS_ID,0))</f>
        <v>..</v>
      </c>
      <c r="T48" s="247" t="s">
        <v>606</v>
      </c>
      <c r="U48" s="238"/>
      <c r="V48" s="5464"/>
      <c r="W48" s="5464"/>
      <c r="X48" s="5464"/>
      <c r="Y48" s="5464"/>
      <c r="Z48" s="5464"/>
      <c r="AA48" s="5464"/>
      <c r="AB48" s="5464"/>
      <c r="AC48" s="5465"/>
      <c r="AD48" s="5463" t="str">
        <f>INDEX(PT_DIFFERENTIATION_CS,MATCH(C48,PT_DIFFERENTIATION_CS_ID,0))</f>
        <v/>
      </c>
      <c r="AE48" s="5464"/>
      <c r="AF48" s="5464"/>
      <c r="AG48" s="5464"/>
      <c r="AH48" s="5464"/>
      <c r="AI48" s="5464"/>
      <c r="AJ48" s="5464"/>
      <c r="AK48" s="5464"/>
      <c r="AL48" s="5464"/>
      <c r="AM48" s="5464"/>
      <c r="AN48" s="5464"/>
      <c r="AO48" s="5464"/>
      <c r="AP48" s="5464"/>
      <c r="AQ48" s="5464"/>
      <c r="AR48" s="5464"/>
      <c r="AS48" s="5464"/>
      <c r="AT48" s="5464"/>
      <c r="AU48" s="5464"/>
      <c r="AV48" s="5464"/>
      <c r="AW48" s="5464"/>
      <c r="AX48" s="5464"/>
      <c r="AY48" s="5464"/>
      <c r="AZ48" s="5464"/>
      <c r="BA48" s="5464"/>
      <c r="BB48" s="5465"/>
      <c r="BC48" s="1179" t="s">
        <v>607</v>
      </c>
      <c r="BE48" s="438"/>
      <c r="BF48" s="438" t="str">
        <f t="shared" si="3"/>
        <v>Наименование централизованной системы водоотведения</v>
      </c>
      <c r="BG48" s="438"/>
      <c r="BH48" s="438"/>
      <c r="BI48" s="1076">
        <v>34</v>
      </c>
    </row>
    <row r="49" spans="1:61" s="4275" customFormat="1" ht="0" hidden="1" customHeight="1">
      <c r="A49" s="1264" t="s">
        <v>369</v>
      </c>
      <c r="B49" s="1264" t="s">
        <v>370</v>
      </c>
      <c r="C49" s="1264" t="s">
        <v>371</v>
      </c>
      <c r="D49" s="1264" t="s">
        <v>621</v>
      </c>
      <c r="E49" s="5470"/>
      <c r="F49" s="5470"/>
      <c r="G49" s="5470"/>
      <c r="H49" s="5469">
        <v>1</v>
      </c>
      <c r="I49" s="1264"/>
      <c r="J49" s="1264"/>
      <c r="K49" s="1264"/>
      <c r="L49" s="1267"/>
      <c r="M49" s="1236"/>
      <c r="N49" s="1236"/>
      <c r="O49" s="1236"/>
      <c r="P49" s="1418"/>
      <c r="Q49" s="1419"/>
      <c r="R49" s="295"/>
      <c r="S49" s="967"/>
      <c r="T49" s="1420"/>
      <c r="U49" s="1305"/>
      <c r="V49" s="5501"/>
      <c r="W49" s="5501"/>
      <c r="X49" s="5501"/>
      <c r="Y49" s="5501"/>
      <c r="Z49" s="5501"/>
      <c r="AA49" s="5501"/>
      <c r="AB49" s="5501"/>
      <c r="AC49" s="5502"/>
      <c r="AD49" s="5500"/>
      <c r="AE49" s="5501"/>
      <c r="AF49" s="5501"/>
      <c r="AG49" s="5501"/>
      <c r="AH49" s="5501"/>
      <c r="AI49" s="5501"/>
      <c r="AJ49" s="5501"/>
      <c r="AK49" s="5501"/>
      <c r="AL49" s="5501"/>
      <c r="AM49" s="5501"/>
      <c r="AN49" s="5501"/>
      <c r="AO49" s="5501"/>
      <c r="AP49" s="5501"/>
      <c r="AQ49" s="5501"/>
      <c r="AR49" s="5501"/>
      <c r="AS49" s="5501"/>
      <c r="AT49" s="5501"/>
      <c r="AU49" s="5501"/>
      <c r="AV49" s="5501"/>
      <c r="AW49" s="5501"/>
      <c r="AX49" s="5501"/>
      <c r="AY49" s="5501"/>
      <c r="AZ49" s="5501"/>
      <c r="BA49" s="5501"/>
      <c r="BB49" s="5502"/>
      <c r="BC49" s="1306" t="s">
        <v>495</v>
      </c>
      <c r="BE49" s="438"/>
      <c r="BF49" s="438" t="str">
        <f t="shared" si="3"/>
        <v/>
      </c>
      <c r="BG49" s="438"/>
      <c r="BH49" s="438"/>
      <c r="BI49" s="449">
        <v>0</v>
      </c>
    </row>
    <row r="50" spans="1:61" s="4275" customFormat="1" ht="0" hidden="1" customHeight="1">
      <c r="A50" s="1264" t="s">
        <v>369</v>
      </c>
      <c r="B50" s="1264" t="s">
        <v>370</v>
      </c>
      <c r="C50" s="1264" t="s">
        <v>371</v>
      </c>
      <c r="D50" s="1264" t="s">
        <v>621</v>
      </c>
      <c r="E50" s="5470"/>
      <c r="F50" s="5470"/>
      <c r="G50" s="5470"/>
      <c r="H50" s="5470"/>
      <c r="I50" s="5471" t="str">
        <f>S49&amp;".1"</f>
        <v>.1</v>
      </c>
      <c r="J50" s="1264"/>
      <c r="K50" s="1264"/>
      <c r="L50" s="1267" t="s">
        <v>496</v>
      </c>
      <c r="M50" s="448"/>
      <c r="N50" s="448"/>
      <c r="O50" s="448"/>
      <c r="P50" s="5473">
        <v>1</v>
      </c>
      <c r="Q50" s="1402"/>
      <c r="R50" s="294"/>
      <c r="S50" s="967"/>
      <c r="T50" s="1304"/>
      <c r="U50" s="1305"/>
      <c r="V50" s="5501"/>
      <c r="W50" s="5501"/>
      <c r="X50" s="5501"/>
      <c r="Y50" s="5501"/>
      <c r="Z50" s="5501"/>
      <c r="AA50" s="5501"/>
      <c r="AB50" s="5501"/>
      <c r="AC50" s="5502"/>
      <c r="AD50" s="5500"/>
      <c r="AE50" s="5501"/>
      <c r="AF50" s="5501"/>
      <c r="AG50" s="5501"/>
      <c r="AH50" s="5501"/>
      <c r="AI50" s="5501"/>
      <c r="AJ50" s="5501"/>
      <c r="AK50" s="5501"/>
      <c r="AL50" s="5501"/>
      <c r="AM50" s="5501"/>
      <c r="AN50" s="5501"/>
      <c r="AO50" s="5501"/>
      <c r="AP50" s="5501"/>
      <c r="AQ50" s="5501"/>
      <c r="AR50" s="5501"/>
      <c r="AS50" s="5501"/>
      <c r="AT50" s="5501"/>
      <c r="AU50" s="5501"/>
      <c r="AV50" s="5501"/>
      <c r="AW50" s="5501"/>
      <c r="AX50" s="5501"/>
      <c r="AY50" s="5501"/>
      <c r="AZ50" s="5501"/>
      <c r="BA50" s="5501"/>
      <c r="BB50" s="5502"/>
      <c r="BC50" s="1306"/>
      <c r="BE50" s="438"/>
      <c r="BF50" s="438" t="str">
        <f t="shared" si="3"/>
        <v/>
      </c>
      <c r="BG50" s="438"/>
      <c r="BH50" s="438"/>
      <c r="BI50" s="449">
        <v>0</v>
      </c>
    </row>
    <row r="51" spans="1:61" s="4275" customFormat="1" ht="0" hidden="1" customHeight="1">
      <c r="A51" s="1264" t="s">
        <v>369</v>
      </c>
      <c r="B51" s="1264" t="s">
        <v>370</v>
      </c>
      <c r="C51" s="1264" t="s">
        <v>371</v>
      </c>
      <c r="D51" s="1264" t="s">
        <v>621</v>
      </c>
      <c r="E51" s="5470"/>
      <c r="F51" s="5470"/>
      <c r="G51" s="5470"/>
      <c r="H51" s="5470"/>
      <c r="I51" s="5472"/>
      <c r="J51" s="5471" t="str">
        <f>S49&amp;".1"</f>
        <v>.1</v>
      </c>
      <c r="K51" s="1264"/>
      <c r="L51" s="1267"/>
      <c r="M51" s="448"/>
      <c r="N51" s="448"/>
      <c r="O51" s="448"/>
      <c r="P51" s="5473"/>
      <c r="Q51" s="5473">
        <v>1</v>
      </c>
      <c r="R51" s="295"/>
      <c r="S51" s="967"/>
      <c r="T51" s="1320"/>
      <c r="U51" s="1305"/>
      <c r="V51" s="5501"/>
      <c r="W51" s="5501"/>
      <c r="X51" s="5501"/>
      <c r="Y51" s="5501"/>
      <c r="Z51" s="5501"/>
      <c r="AA51" s="5501"/>
      <c r="AB51" s="5501"/>
      <c r="AC51" s="5502"/>
      <c r="AD51" s="5500"/>
      <c r="AE51" s="5501"/>
      <c r="AF51" s="5501"/>
      <c r="AG51" s="5501"/>
      <c r="AH51" s="5501"/>
      <c r="AI51" s="5501"/>
      <c r="AJ51" s="5501"/>
      <c r="AK51" s="5501"/>
      <c r="AL51" s="5501"/>
      <c r="AM51" s="5501"/>
      <c r="AN51" s="5552"/>
      <c r="AO51" s="5552"/>
      <c r="AP51" s="5501"/>
      <c r="AQ51" s="5501"/>
      <c r="AR51" s="5501"/>
      <c r="AS51" s="5501"/>
      <c r="AT51" s="5501"/>
      <c r="AU51" s="5501"/>
      <c r="AV51" s="5501"/>
      <c r="AW51" s="5501"/>
      <c r="AX51" s="5501"/>
      <c r="AY51" s="5501"/>
      <c r="AZ51" s="5501"/>
      <c r="BA51" s="5501"/>
      <c r="BB51" s="5502"/>
      <c r="BC51" s="1306"/>
      <c r="BE51" s="438"/>
      <c r="BF51" s="438" t="str">
        <f t="shared" si="3"/>
        <v/>
      </c>
      <c r="BG51" s="438"/>
      <c r="BH51" s="438"/>
      <c r="BI51" s="449">
        <v>0</v>
      </c>
    </row>
    <row r="52" spans="1:61" ht="11.45" customHeight="1">
      <c r="A52" s="1284" t="s">
        <v>369</v>
      </c>
      <c r="B52" s="1284" t="s">
        <v>370</v>
      </c>
      <c r="C52" s="1284" t="s">
        <v>371</v>
      </c>
      <c r="D52" s="1284" t="s">
        <v>621</v>
      </c>
      <c r="E52" s="5470"/>
      <c r="F52" s="5470"/>
      <c r="G52" s="5470"/>
      <c r="H52" s="5470"/>
      <c r="I52" s="5472"/>
      <c r="J52" s="5472"/>
      <c r="K52" s="5471" t="str">
        <f>S48&amp;".1"</f>
        <v>...1</v>
      </c>
      <c r="L52" s="1285"/>
      <c r="P52" s="5473"/>
      <c r="Q52" s="5473"/>
      <c r="R52" s="295">
        <v>1</v>
      </c>
      <c r="S52" s="5526" t="str">
        <f>$K52</f>
        <v>...1</v>
      </c>
      <c r="T52" s="5546"/>
      <c r="U52" s="238"/>
      <c r="V52" s="689"/>
      <c r="W52" s="1178"/>
      <c r="X52" s="689"/>
      <c r="Y52" s="1178"/>
      <c r="Z52" s="1654"/>
      <c r="AA52" s="1390" t="s">
        <v>66</v>
      </c>
      <c r="AB52" s="1654"/>
      <c r="AC52" s="1390" t="s">
        <v>66</v>
      </c>
      <c r="AD52" s="5399" t="s">
        <v>66</v>
      </c>
      <c r="AE52" s="5522"/>
      <c r="AF52" s="5427">
        <v>1</v>
      </c>
      <c r="AG52" s="5545"/>
      <c r="AH52" s="5338" t="s">
        <v>66</v>
      </c>
      <c r="AI52" s="5522"/>
      <c r="AJ52" s="5427">
        <v>1</v>
      </c>
      <c r="AK52" s="5536" t="s">
        <v>28</v>
      </c>
      <c r="AL52" s="5338" t="s">
        <v>66</v>
      </c>
      <c r="AM52" s="5404"/>
      <c r="AN52" s="5427">
        <v>1</v>
      </c>
      <c r="AO52" s="5549"/>
      <c r="AP52" s="5550" t="s">
        <v>66</v>
      </c>
      <c r="AQ52" s="249"/>
      <c r="AR52" s="1407">
        <v>1</v>
      </c>
      <c r="AS52" s="1413" t="s">
        <v>28</v>
      </c>
      <c r="AT52" s="689"/>
      <c r="AU52" s="1178"/>
      <c r="AV52" s="689"/>
      <c r="AW52" s="1178"/>
      <c r="AX52" s="1654"/>
      <c r="AY52" s="1390" t="s">
        <v>66</v>
      </c>
      <c r="AZ52" s="1654"/>
      <c r="BA52" s="1390" t="s">
        <v>66</v>
      </c>
      <c r="BB52" s="1269"/>
      <c r="BC52" s="5492" t="s">
        <v>591</v>
      </c>
      <c r="BE52" s="438"/>
      <c r="BF52" s="438" t="str">
        <f t="shared" si="3"/>
        <v/>
      </c>
      <c r="BG52" s="438"/>
      <c r="BH52" s="438"/>
      <c r="BI52" s="1076">
        <v>11</v>
      </c>
    </row>
    <row r="53" spans="1:61" ht="11.45" customHeight="1">
      <c r="A53" s="1284"/>
      <c r="B53" s="1284"/>
      <c r="C53" s="1284"/>
      <c r="D53" s="1284"/>
      <c r="E53" s="5470"/>
      <c r="F53" s="5470"/>
      <c r="G53" s="5470"/>
      <c r="H53" s="5470"/>
      <c r="I53" s="5472"/>
      <c r="J53" s="5472"/>
      <c r="K53" s="5471"/>
      <c r="L53" s="1285"/>
      <c r="P53" s="5473"/>
      <c r="Q53" s="5473"/>
      <c r="R53" s="295"/>
      <c r="S53" s="5527"/>
      <c r="T53" s="5547"/>
      <c r="U53" s="238"/>
      <c r="V53" s="1314"/>
      <c r="W53" s="1417"/>
      <c r="X53" s="1314"/>
      <c r="Y53" s="1417"/>
      <c r="Z53" s="1314"/>
      <c r="AA53" s="1314"/>
      <c r="AB53" s="1314"/>
      <c r="AC53" s="1314"/>
      <c r="AD53" s="5400"/>
      <c r="AE53" s="5522"/>
      <c r="AF53" s="5427"/>
      <c r="AG53" s="5545"/>
      <c r="AH53" s="5338"/>
      <c r="AI53" s="5522"/>
      <c r="AJ53" s="5427"/>
      <c r="AK53" s="5536"/>
      <c r="AL53" s="5338"/>
      <c r="AM53" s="5409"/>
      <c r="AN53" s="5427"/>
      <c r="AO53" s="5549"/>
      <c r="AP53" s="5551"/>
      <c r="AQ53" s="254"/>
      <c r="AR53" s="354"/>
      <c r="AS53" s="354" t="s">
        <v>592</v>
      </c>
      <c r="AT53" s="1314"/>
      <c r="AU53" s="1417"/>
      <c r="AV53" s="1314"/>
      <c r="AW53" s="1417"/>
      <c r="AX53" s="1314"/>
      <c r="AY53" s="1314"/>
      <c r="AZ53" s="1314"/>
      <c r="BA53" s="1314"/>
      <c r="BB53" s="1318"/>
      <c r="BC53" s="5493"/>
      <c r="BE53" s="438"/>
      <c r="BF53" s="438"/>
      <c r="BG53" s="438"/>
      <c r="BH53" s="438"/>
      <c r="BI53" s="1076">
        <v>11</v>
      </c>
    </row>
    <row r="54" spans="1:61" ht="11.45" customHeight="1">
      <c r="A54" s="1284" t="s">
        <v>369</v>
      </c>
      <c r="B54" s="1284"/>
      <c r="C54" s="1284"/>
      <c r="D54" s="1284"/>
      <c r="E54" s="5470"/>
      <c r="F54" s="5470"/>
      <c r="G54" s="5470"/>
      <c r="H54" s="5470"/>
      <c r="I54" s="5472"/>
      <c r="J54" s="5472"/>
      <c r="K54" s="5471"/>
      <c r="L54" s="1285"/>
      <c r="P54" s="5473"/>
      <c r="Q54" s="5473"/>
      <c r="R54" s="295"/>
      <c r="S54" s="5527"/>
      <c r="T54" s="5547"/>
      <c r="U54" s="238"/>
      <c r="V54" s="1314"/>
      <c r="W54" s="1417"/>
      <c r="X54" s="1314"/>
      <c r="Y54" s="1417"/>
      <c r="Z54" s="1314"/>
      <c r="AA54" s="1314"/>
      <c r="AB54" s="1314"/>
      <c r="AC54" s="1314"/>
      <c r="AD54" s="5400"/>
      <c r="AE54" s="5522"/>
      <c r="AF54" s="5427"/>
      <c r="AG54" s="5545"/>
      <c r="AH54" s="5338"/>
      <c r="AI54" s="5522"/>
      <c r="AJ54" s="5427"/>
      <c r="AK54" s="5536"/>
      <c r="AL54" s="5338"/>
      <c r="AM54" s="254"/>
      <c r="AN54" s="1421"/>
      <c r="AO54" s="1421" t="s">
        <v>614</v>
      </c>
      <c r="AP54" s="354"/>
      <c r="AQ54" s="354"/>
      <c r="AR54" s="354"/>
      <c r="AS54" s="1314"/>
      <c r="AT54" s="1314"/>
      <c r="AU54" s="1417"/>
      <c r="AV54" s="1314"/>
      <c r="AW54" s="1417"/>
      <c r="AX54" s="1314"/>
      <c r="AY54" s="1314"/>
      <c r="AZ54" s="1314"/>
      <c r="BA54" s="1314"/>
      <c r="BB54" s="1318"/>
      <c r="BC54" s="5493"/>
      <c r="BE54" s="438"/>
      <c r="BF54" s="438"/>
      <c r="BG54" s="438"/>
      <c r="BH54" s="438"/>
      <c r="BI54" s="1076">
        <v>11</v>
      </c>
    </row>
    <row r="55" spans="1:61" ht="11.45" customHeight="1">
      <c r="A55" s="1284" t="s">
        <v>369</v>
      </c>
      <c r="B55" s="1284"/>
      <c r="C55" s="1284"/>
      <c r="D55" s="1284"/>
      <c r="E55" s="5470"/>
      <c r="F55" s="5470"/>
      <c r="G55" s="5470"/>
      <c r="H55" s="5470"/>
      <c r="I55" s="5472"/>
      <c r="J55" s="5472"/>
      <c r="K55" s="5471"/>
      <c r="L55" s="1285"/>
      <c r="P55" s="5473"/>
      <c r="Q55" s="5473"/>
      <c r="R55" s="295"/>
      <c r="S55" s="5527"/>
      <c r="T55" s="5547"/>
      <c r="U55" s="238"/>
      <c r="V55" s="1314"/>
      <c r="W55" s="1417"/>
      <c r="X55" s="1314"/>
      <c r="Y55" s="1417"/>
      <c r="Z55" s="1314"/>
      <c r="AA55" s="1314"/>
      <c r="AB55" s="1314"/>
      <c r="AC55" s="1314"/>
      <c r="AD55" s="5400"/>
      <c r="AE55" s="5522"/>
      <c r="AF55" s="5427"/>
      <c r="AG55" s="5545"/>
      <c r="AH55" s="5338"/>
      <c r="AI55" s="232"/>
      <c r="AJ55" s="353"/>
      <c r="AK55" s="251" t="s">
        <v>615</v>
      </c>
      <c r="AL55" s="1314"/>
      <c r="AM55" s="1314"/>
      <c r="AN55" s="1314"/>
      <c r="AO55" s="1314"/>
      <c r="AP55" s="1314"/>
      <c r="AQ55" s="1314"/>
      <c r="AR55" s="1314"/>
      <c r="AS55" s="1314"/>
      <c r="AT55" s="1314"/>
      <c r="AU55" s="1417"/>
      <c r="AV55" s="1314"/>
      <c r="AW55" s="1417"/>
      <c r="AX55" s="1314"/>
      <c r="AY55" s="1314"/>
      <c r="AZ55" s="1314"/>
      <c r="BA55" s="1314"/>
      <c r="BB55" s="1318"/>
      <c r="BC55" s="5493"/>
      <c r="BE55" s="438"/>
      <c r="BF55" s="438"/>
      <c r="BG55" s="438"/>
      <c r="BH55" s="438"/>
      <c r="BI55" s="1076">
        <v>11</v>
      </c>
    </row>
    <row r="56" spans="1:61" ht="11.45" customHeight="1">
      <c r="A56" s="1284" t="s">
        <v>369</v>
      </c>
      <c r="B56" s="1284" t="s">
        <v>370</v>
      </c>
      <c r="C56" s="1284" t="s">
        <v>371</v>
      </c>
      <c r="D56" s="1284" t="s">
        <v>621</v>
      </c>
      <c r="E56" s="5470"/>
      <c r="F56" s="5470"/>
      <c r="G56" s="5470"/>
      <c r="H56" s="5470"/>
      <c r="I56" s="5472"/>
      <c r="J56" s="5472"/>
      <c r="K56" s="5471"/>
      <c r="L56" s="1285"/>
      <c r="P56" s="5473"/>
      <c r="Q56" s="5473"/>
      <c r="R56" s="295"/>
      <c r="S56" s="5528"/>
      <c r="T56" s="5548"/>
      <c r="U56" s="238"/>
      <c r="V56" s="1314"/>
      <c r="W56" s="1315" t="str">
        <f>Z52&amp;"-"&amp;AB52</f>
        <v>-</v>
      </c>
      <c r="X56" s="1314"/>
      <c r="Y56" s="1315" t="str">
        <f>AB52&amp;"-"&amp;AD52</f>
        <v>-да</v>
      </c>
      <c r="Z56" s="1314"/>
      <c r="AA56" s="1314"/>
      <c r="AB56" s="1314"/>
      <c r="AC56" s="1314"/>
      <c r="AD56" s="5343"/>
      <c r="AE56" s="250"/>
      <c r="AF56" s="252"/>
      <c r="AG56" s="354" t="s">
        <v>595</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5493"/>
      <c r="BE56" s="438"/>
      <c r="BF56" s="438" t="str">
        <f t="shared" ref="BF56:BF63" si="4">IF(T56="","",T56)</f>
        <v/>
      </c>
      <c r="BG56" s="438"/>
      <c r="BH56" s="438"/>
      <c r="BI56" s="1076">
        <v>11</v>
      </c>
    </row>
    <row r="57" spans="1:61" ht="11.45" customHeight="1">
      <c r="A57" s="1284" t="s">
        <v>369</v>
      </c>
      <c r="B57" s="1284" t="s">
        <v>370</v>
      </c>
      <c r="C57" s="1284" t="s">
        <v>371</v>
      </c>
      <c r="D57" s="1284" t="s">
        <v>621</v>
      </c>
      <c r="E57" s="5470"/>
      <c r="F57" s="5470"/>
      <c r="G57" s="5470"/>
      <c r="H57" s="5470"/>
      <c r="I57" s="5472"/>
      <c r="J57" s="5471"/>
      <c r="K57" s="1284"/>
      <c r="L57" s="1285"/>
      <c r="P57" s="5473"/>
      <c r="Q57" s="5473"/>
      <c r="R57" s="294"/>
      <c r="S57" s="1199"/>
      <c r="T57" s="225" t="s">
        <v>558</v>
      </c>
      <c r="U57" s="305"/>
      <c r="V57" s="305"/>
      <c r="W57" s="305"/>
      <c r="X57" s="305"/>
      <c r="Y57" s="305"/>
      <c r="Z57" s="305"/>
      <c r="AA57" s="305"/>
      <c r="AB57" s="305"/>
      <c r="AC57" s="262"/>
      <c r="AD57" s="1426"/>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5494"/>
      <c r="BE57" s="438"/>
      <c r="BF57" s="438" t="str">
        <f t="shared" si="4"/>
        <v>Добавить строку</v>
      </c>
      <c r="BG57" s="438"/>
      <c r="BH57" s="438"/>
      <c r="BI57" s="1076">
        <v>11</v>
      </c>
    </row>
    <row r="58" spans="1:61" s="4275" customFormat="1" ht="0" hidden="1" customHeight="1">
      <c r="A58" s="1264" t="s">
        <v>369</v>
      </c>
      <c r="B58" s="1264" t="s">
        <v>370</v>
      </c>
      <c r="C58" s="1264" t="s">
        <v>371</v>
      </c>
      <c r="D58" s="1264" t="s">
        <v>621</v>
      </c>
      <c r="E58" s="5470"/>
      <c r="F58" s="5470"/>
      <c r="G58" s="5470"/>
      <c r="H58" s="5470"/>
      <c r="I58" s="5471"/>
      <c r="J58" s="1264"/>
      <c r="K58" s="1264"/>
      <c r="L58" s="1267"/>
      <c r="M58" s="448"/>
      <c r="N58" s="448"/>
      <c r="O58" s="448"/>
      <c r="P58" s="5473"/>
      <c r="Q58" s="1402"/>
      <c r="R58" s="294"/>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38"/>
      <c r="BF58" s="438" t="str">
        <f t="shared" si="4"/>
        <v/>
      </c>
      <c r="BG58" s="438"/>
      <c r="BH58" s="438"/>
      <c r="BI58" s="449">
        <v>0</v>
      </c>
    </row>
    <row r="59" spans="1:61" s="4275" customFormat="1" ht="0" hidden="1" customHeight="1">
      <c r="A59" s="1264" t="s">
        <v>369</v>
      </c>
      <c r="B59" s="1264" t="s">
        <v>370</v>
      </c>
      <c r="C59" s="1264" t="s">
        <v>371</v>
      </c>
      <c r="D59" s="1264" t="s">
        <v>621</v>
      </c>
      <c r="E59" s="5470"/>
      <c r="F59" s="5470"/>
      <c r="G59" s="5470"/>
      <c r="H59" s="5469"/>
      <c r="I59" s="1264"/>
      <c r="J59" s="1264"/>
      <c r="K59" s="1264"/>
      <c r="L59" s="1267"/>
      <c r="M59" s="1236"/>
      <c r="N59" s="1236"/>
      <c r="O59" s="456"/>
      <c r="P59" s="318"/>
      <c r="Q59" s="1265"/>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38"/>
      <c r="BF59" s="438" t="str">
        <f t="shared" si="4"/>
        <v/>
      </c>
      <c r="BG59" s="438"/>
      <c r="BH59" s="438"/>
      <c r="BI59" s="449">
        <v>0</v>
      </c>
    </row>
    <row r="60" spans="1:61" s="4275" customFormat="1" ht="0" hidden="1" customHeight="1">
      <c r="A60" s="1264" t="s">
        <v>369</v>
      </c>
      <c r="B60" s="1264" t="s">
        <v>370</v>
      </c>
      <c r="C60" s="1264" t="s">
        <v>371</v>
      </c>
      <c r="D60" s="1235"/>
      <c r="E60" s="5470"/>
      <c r="F60" s="5470"/>
      <c r="G60" s="5469"/>
      <c r="H60" s="1235"/>
      <c r="I60" s="1235"/>
      <c r="J60" s="1235"/>
      <c r="K60" s="1235"/>
      <c r="L60" s="1415"/>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21"/>
      <c r="BF60" s="721" t="str">
        <f t="shared" si="4"/>
        <v/>
      </c>
      <c r="BG60" s="721"/>
      <c r="BH60" s="721"/>
      <c r="BI60" s="456">
        <v>0</v>
      </c>
    </row>
    <row r="61" spans="1:61" s="4275" customFormat="1" ht="0" hidden="1" customHeight="1">
      <c r="A61" s="1264" t="s">
        <v>369</v>
      </c>
      <c r="B61" s="1264" t="s">
        <v>370</v>
      </c>
      <c r="C61" s="1235"/>
      <c r="D61" s="1235"/>
      <c r="E61" s="5470"/>
      <c r="F61" s="5469"/>
      <c r="G61" s="1235"/>
      <c r="H61" s="1235"/>
      <c r="I61" s="1235"/>
      <c r="J61" s="1235"/>
      <c r="K61" s="1235"/>
      <c r="L61" s="1415"/>
      <c r="M61" s="1242"/>
      <c r="N61" s="1242"/>
      <c r="P61" s="1237"/>
      <c r="Q61" s="1238"/>
      <c r="R61" s="1237"/>
      <c r="S61" s="1243"/>
      <c r="T61" s="1246" t="s">
        <v>312</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21"/>
      <c r="BF61" s="721" t="str">
        <f t="shared" si="4"/>
        <v>Добавить централизованную систему для дифференциации</v>
      </c>
      <c r="BG61" s="721"/>
      <c r="BH61" s="721"/>
      <c r="BI61" s="456">
        <v>0</v>
      </c>
    </row>
    <row r="62" spans="1:61" s="4275" customFormat="1" ht="0" hidden="1" customHeight="1">
      <c r="A62" s="1264" t="s">
        <v>369</v>
      </c>
      <c r="B62" s="1264"/>
      <c r="C62" s="1264"/>
      <c r="D62" s="1264"/>
      <c r="E62" s="5469"/>
      <c r="F62" s="1264"/>
      <c r="G62" s="1264"/>
      <c r="H62" s="1264"/>
      <c r="I62" s="1264"/>
      <c r="J62" s="1264"/>
      <c r="K62" s="1264"/>
      <c r="L62" s="1267"/>
      <c r="M62" s="1242"/>
      <c r="N62" s="1242"/>
      <c r="O62" s="456"/>
      <c r="P62" s="318"/>
      <c r="Q62" s="1265"/>
      <c r="R62" s="318"/>
      <c r="S62" s="1243"/>
      <c r="T62" s="1246" t="s">
        <v>360</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38"/>
      <c r="BF62" s="438" t="str">
        <f t="shared" si="4"/>
        <v>Добавить территорию для дифференциации</v>
      </c>
      <c r="BG62" s="438"/>
      <c r="BH62" s="438"/>
      <c r="BI62" s="449">
        <v>0</v>
      </c>
    </row>
    <row r="63" spans="1:61" s="4275" customFormat="1" ht="0" hidden="1" customHeight="1">
      <c r="A63" s="1235"/>
      <c r="B63" s="1235"/>
      <c r="C63" s="1235"/>
      <c r="D63" s="1235"/>
      <c r="E63" s="1264"/>
      <c r="F63" s="1235"/>
      <c r="G63" s="1235"/>
      <c r="H63" s="1235"/>
      <c r="I63" s="1235"/>
      <c r="J63" s="1235"/>
      <c r="K63" s="1235"/>
      <c r="L63" s="1415"/>
      <c r="M63" s="1242"/>
      <c r="N63" s="1242"/>
      <c r="P63" s="1237"/>
      <c r="Q63" s="1238"/>
      <c r="R63" s="1237"/>
      <c r="S63" s="1243"/>
      <c r="T63" s="1246" t="s">
        <v>361</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21"/>
      <c r="BF63" s="721" t="str">
        <f t="shared" si="4"/>
        <v>Добавить наименование тарифа</v>
      </c>
      <c r="BG63" s="721"/>
      <c r="BH63" s="721"/>
      <c r="BI63" s="456">
        <v>0</v>
      </c>
    </row>
    <row r="64" spans="1:61" ht="11.45" customHeight="1">
      <c r="M64" s="1081"/>
      <c r="N64" s="1081"/>
      <c r="O64" s="475"/>
      <c r="P64" s="1081"/>
      <c r="Q64" s="1081"/>
      <c r="R64" s="1076"/>
      <c r="S64" s="1076"/>
      <c r="BD64" s="1076"/>
      <c r="BE64" s="1076"/>
      <c r="BF64" s="1076"/>
      <c r="BG64" s="1076"/>
      <c r="BH64" s="1076"/>
      <c r="BI64" s="1076">
        <v>11</v>
      </c>
    </row>
    <row r="65" spans="1:61" ht="14.65" customHeight="1">
      <c r="O65" s="475"/>
      <c r="S65" s="1174"/>
      <c r="T65" s="5468"/>
      <c r="U65" s="5468"/>
      <c r="V65" s="5468"/>
      <c r="W65" s="5468"/>
      <c r="X65" s="5468"/>
      <c r="Y65" s="5468"/>
      <c r="Z65" s="5468"/>
      <c r="AA65" s="5468"/>
      <c r="AB65" s="5468"/>
      <c r="AC65" s="5468"/>
      <c r="AD65" s="5468"/>
      <c r="AE65" s="5468"/>
      <c r="AF65" s="5468"/>
      <c r="AG65" s="5468"/>
      <c r="AH65" s="5468"/>
      <c r="AI65" s="5468"/>
      <c r="AJ65" s="5468"/>
      <c r="AK65" s="5468"/>
      <c r="AL65" s="5468"/>
      <c r="AM65" s="5468"/>
      <c r="AN65" s="5468"/>
      <c r="AO65" s="5468"/>
      <c r="AP65" s="5468"/>
      <c r="AQ65" s="5468"/>
      <c r="AR65" s="5468"/>
      <c r="AS65" s="5468"/>
      <c r="AT65" s="5468"/>
      <c r="AU65" s="5468"/>
      <c r="AV65" s="5468"/>
      <c r="AW65" s="5468"/>
      <c r="AX65" s="5468"/>
      <c r="AY65" s="5468"/>
      <c r="AZ65" s="5468"/>
      <c r="BA65" s="5468"/>
      <c r="BB65" s="5468"/>
      <c r="BC65" s="5468"/>
      <c r="BI65" s="1076">
        <v>14</v>
      </c>
    </row>
    <row r="66" spans="1:61" ht="14.65" customHeight="1">
      <c r="O66" s="475"/>
      <c r="T66" s="1401"/>
      <c r="U66" s="1401"/>
      <c r="V66" s="1401"/>
      <c r="W66" s="1401"/>
      <c r="X66" s="1401"/>
      <c r="Y66" s="1401"/>
      <c r="Z66" s="1401"/>
      <c r="AA66" s="1401"/>
      <c r="AB66" s="1401"/>
      <c r="AC66" s="1401"/>
      <c r="AD66" s="1401"/>
      <c r="AE66" s="1401"/>
      <c r="AF66" s="1401"/>
      <c r="AG66" s="1401"/>
      <c r="AH66" s="1401"/>
      <c r="AI66" s="1401"/>
      <c r="AJ66" s="1401"/>
      <c r="AK66" s="1401"/>
      <c r="AL66" s="1401"/>
      <c r="AM66" s="1401"/>
      <c r="AN66" s="1401"/>
      <c r="AO66" s="1401"/>
      <c r="AP66" s="1401"/>
      <c r="AQ66" s="1401"/>
      <c r="AR66" s="1401"/>
      <c r="AS66" s="1401"/>
      <c r="AT66" s="1401"/>
      <c r="AU66" s="1401"/>
      <c r="AV66" s="1401"/>
      <c r="AW66" s="1401"/>
      <c r="AX66" s="1401"/>
      <c r="AY66" s="1401"/>
      <c r="AZ66" s="1401"/>
      <c r="BA66" s="1401"/>
      <c r="BB66" s="1401"/>
      <c r="BC66" s="1401"/>
      <c r="BI66" s="1076">
        <v>14</v>
      </c>
    </row>
    <row r="67" spans="1:61" ht="14.65" customHeight="1">
      <c r="O67" s="475"/>
      <c r="S67" s="1174"/>
      <c r="T67" s="5468"/>
      <c r="U67" s="5468"/>
      <c r="V67" s="5468"/>
      <c r="W67" s="5468"/>
      <c r="X67" s="5468"/>
      <c r="Y67" s="5468"/>
      <c r="Z67" s="5468"/>
      <c r="AA67" s="5468"/>
      <c r="AB67" s="5468"/>
      <c r="AC67" s="5468"/>
      <c r="AD67" s="5468"/>
      <c r="AE67" s="5468"/>
      <c r="AF67" s="5468"/>
      <c r="AG67" s="5468"/>
      <c r="AH67" s="5468"/>
      <c r="AI67" s="5468"/>
      <c r="AJ67" s="5468"/>
      <c r="AK67" s="5468"/>
      <c r="AL67" s="5468"/>
      <c r="AM67" s="5468"/>
      <c r="AN67" s="5468"/>
      <c r="AO67" s="5468"/>
      <c r="AP67" s="5468"/>
      <c r="AQ67" s="5468"/>
      <c r="AR67" s="5468"/>
      <c r="AS67" s="5468"/>
      <c r="AT67" s="5468"/>
      <c r="AU67" s="5468"/>
      <c r="AV67" s="5468"/>
      <c r="AW67" s="5468"/>
      <c r="AX67" s="5468"/>
      <c r="AY67" s="5468"/>
      <c r="AZ67" s="5468"/>
      <c r="BA67" s="5468"/>
      <c r="BB67" s="5468"/>
      <c r="BC67" s="5468"/>
      <c r="BI67" s="1076">
        <v>14</v>
      </c>
    </row>
    <row r="68" spans="1:61" ht="14.65" customHeight="1">
      <c r="O68" s="475"/>
      <c r="BI68" s="1076">
        <v>14</v>
      </c>
    </row>
    <row r="69" spans="1:61" ht="14.25" hidden="1" customHeight="1">
      <c r="A69" s="1081" t="s">
        <v>82</v>
      </c>
      <c r="B69" s="1081">
        <v>0</v>
      </c>
      <c r="C69" s="1081">
        <v>0</v>
      </c>
      <c r="D69" s="1081">
        <v>0</v>
      </c>
      <c r="E69" s="1081">
        <v>0</v>
      </c>
      <c r="F69" s="1081">
        <v>0</v>
      </c>
      <c r="G69" s="1081">
        <v>0</v>
      </c>
      <c r="H69" s="1081">
        <v>0</v>
      </c>
      <c r="I69" s="1081">
        <v>0</v>
      </c>
      <c r="J69" s="1081">
        <v>0</v>
      </c>
      <c r="K69" s="1081">
        <v>0</v>
      </c>
      <c r="L69" s="1399">
        <v>0</v>
      </c>
      <c r="M69" s="1283">
        <v>0</v>
      </c>
      <c r="N69" s="1283">
        <v>0</v>
      </c>
      <c r="O69" s="1283">
        <v>0</v>
      </c>
      <c r="P69" s="1283">
        <v>0</v>
      </c>
      <c r="Q69" s="1292">
        <v>0</v>
      </c>
      <c r="R69" s="282">
        <v>3</v>
      </c>
      <c r="S69" s="519">
        <v>12</v>
      </c>
      <c r="T69" s="1076">
        <v>31</v>
      </c>
      <c r="U69" s="1076">
        <v>0</v>
      </c>
      <c r="V69" s="1076">
        <v>0</v>
      </c>
      <c r="W69" s="1076">
        <v>0</v>
      </c>
      <c r="X69" s="1076">
        <v>0</v>
      </c>
      <c r="Y69" s="1076">
        <v>0</v>
      </c>
      <c r="Z69" s="1076">
        <v>0</v>
      </c>
      <c r="AA69" s="1076">
        <v>0</v>
      </c>
      <c r="AB69" s="1076">
        <v>0</v>
      </c>
      <c r="AC69" s="1076">
        <v>0</v>
      </c>
      <c r="AD69" s="1076">
        <v>3</v>
      </c>
      <c r="AE69" s="1076">
        <v>3</v>
      </c>
      <c r="AF69" s="1076">
        <v>3</v>
      </c>
      <c r="AG69" s="1076">
        <v>24</v>
      </c>
      <c r="AH69" s="1076">
        <v>3</v>
      </c>
      <c r="AI69" s="1076">
        <v>3</v>
      </c>
      <c r="AJ69" s="1076">
        <v>3</v>
      </c>
      <c r="AK69" s="1076">
        <v>24</v>
      </c>
      <c r="AL69" s="1076">
        <v>3</v>
      </c>
      <c r="AM69" s="1076">
        <v>3</v>
      </c>
      <c r="AN69" s="1076">
        <v>3</v>
      </c>
      <c r="AO69" s="1076">
        <v>18</v>
      </c>
      <c r="AP69" s="1076">
        <v>3</v>
      </c>
      <c r="AQ69" s="1076">
        <v>3</v>
      </c>
      <c r="AR69" s="1076">
        <v>3</v>
      </c>
      <c r="AS69" s="1076">
        <v>18</v>
      </c>
      <c r="AT69" s="1076">
        <v>21</v>
      </c>
      <c r="AU69" s="1076">
        <v>21</v>
      </c>
      <c r="AV69" s="1076">
        <v>21</v>
      </c>
      <c r="AW69" s="1076">
        <v>21</v>
      </c>
      <c r="AX69" s="1076">
        <v>11</v>
      </c>
      <c r="AY69" s="1076">
        <v>3</v>
      </c>
      <c r="AZ69" s="1076">
        <v>11</v>
      </c>
      <c r="BA69" s="1076">
        <v>0</v>
      </c>
      <c r="BB69" s="1076">
        <v>4</v>
      </c>
      <c r="BC69" s="1076">
        <v>115</v>
      </c>
      <c r="BD69" s="449">
        <v>10</v>
      </c>
      <c r="BE69" s="449">
        <v>10</v>
      </c>
      <c r="BF69" s="449">
        <v>10</v>
      </c>
      <c r="BG69" s="449">
        <v>10</v>
      </c>
      <c r="BH69" s="449">
        <v>10</v>
      </c>
      <c r="BI69" s="1076">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53"/>
  <sheetViews>
    <sheetView showGridLines="0" topLeftCell="C2" zoomScale="90" workbookViewId="0">
      <selection activeCell="G36" sqref="G36"/>
    </sheetView>
  </sheetViews>
  <sheetFormatPr defaultColWidth="9.140625" defaultRowHeight="14.25" customHeight="1"/>
  <cols>
    <col min="1" max="1" width="8" style="4267" hidden="1" customWidth="1"/>
    <col min="2" max="2" width="6" style="4274" hidden="1" customWidth="1"/>
    <col min="3" max="3" width="3" style="4267" customWidth="1"/>
    <col min="4" max="4" width="3" style="4280" customWidth="1"/>
    <col min="5" max="5" width="6" style="4267" customWidth="1"/>
    <col min="6" max="6" width="2.7109375" style="4267" hidden="1" customWidth="1"/>
    <col min="7" max="7" width="46.7109375" style="4267" customWidth="1"/>
    <col min="8" max="8" width="42" style="4267" customWidth="1"/>
    <col min="9" max="9" width="14" style="4267" customWidth="1"/>
    <col min="10" max="10" width="3" style="4281" customWidth="1"/>
    <col min="11" max="13" width="9.140625" style="4281" hidden="1"/>
    <col min="14" max="14" width="25.7109375" style="4281" hidden="1" customWidth="1"/>
    <col min="15" max="15" width="14.42578125" style="4281" hidden="1" customWidth="1"/>
    <col min="16" max="19" width="9.140625" style="4282" hidden="1"/>
    <col min="20" max="27" width="9.140625" style="4267" hidden="1"/>
    <col min="28" max="28" width="8" style="4267" customWidth="1"/>
    <col min="29" max="29" width="9.140625" style="4267" hidden="1"/>
  </cols>
  <sheetData>
    <row r="1" spans="1:29" s="4275" customFormat="1" ht="5.25" hidden="1" customHeight="1">
      <c r="A1" s="434"/>
      <c r="B1" s="449"/>
      <c r="C1" s="449"/>
      <c r="D1" s="159"/>
      <c r="F1" s="449"/>
      <c r="G1" s="185" t="s">
        <v>83</v>
      </c>
      <c r="H1" s="432" t="s">
        <v>84</v>
      </c>
      <c r="I1" s="165" t="s">
        <v>85</v>
      </c>
      <c r="J1" s="185" t="s">
        <v>83</v>
      </c>
      <c r="K1" s="185"/>
      <c r="L1" s="185"/>
      <c r="M1" s="185"/>
      <c r="N1" s="186"/>
      <c r="O1" s="185"/>
      <c r="P1" s="185"/>
      <c r="Q1" s="185"/>
      <c r="R1" s="185"/>
      <c r="S1" s="185"/>
      <c r="T1" s="165"/>
      <c r="U1" s="165"/>
      <c r="V1" s="165"/>
      <c r="W1" s="165"/>
      <c r="X1" s="165"/>
      <c r="Y1" s="165"/>
      <c r="Z1" s="165"/>
      <c r="AA1" s="165"/>
      <c r="AB1" s="165"/>
      <c r="AC1" s="91" t="s">
        <v>14</v>
      </c>
    </row>
    <row r="2" spans="1:29" s="4276"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4277" customFormat="1" ht="3" customHeight="1">
      <c r="A3" s="694"/>
      <c r="B3" s="355"/>
      <c r="C3" s="694"/>
      <c r="D3" s="102"/>
      <c r="E3" s="44"/>
      <c r="F3" s="447"/>
      <c r="G3" s="44"/>
      <c r="H3" s="44"/>
      <c r="I3" s="104"/>
      <c r="J3" s="185"/>
      <c r="K3" s="94"/>
      <c r="L3" s="94"/>
      <c r="M3" s="94"/>
      <c r="N3" s="164"/>
      <c r="O3" s="94"/>
      <c r="P3" s="163"/>
      <c r="Q3" s="163"/>
      <c r="R3" s="163"/>
      <c r="S3" s="163"/>
      <c r="AC3" s="57">
        <v>3</v>
      </c>
    </row>
    <row r="4" spans="1:29" s="4277" customFormat="1" ht="27.4" customHeight="1">
      <c r="A4" s="694"/>
      <c r="B4" s="355"/>
      <c r="C4" s="694"/>
      <c r="D4" s="102"/>
      <c r="E4" s="5313" t="str">
        <f>NameTemplatesInListMO</f>
        <v>Перечень муниципальных районов и муниципальных образований (территорий действия тарифа)</v>
      </c>
      <c r="F4" s="5313"/>
      <c r="G4" s="5313"/>
      <c r="H4" s="5313"/>
      <c r="I4" s="5313"/>
      <c r="J4" s="185"/>
      <c r="K4" s="94"/>
      <c r="L4" s="94"/>
      <c r="M4" s="94"/>
      <c r="N4" s="164"/>
      <c r="O4" s="94"/>
      <c r="P4" s="163"/>
      <c r="Q4" s="163"/>
      <c r="R4" s="163"/>
      <c r="S4" s="163"/>
      <c r="AC4" s="57">
        <v>26</v>
      </c>
    </row>
    <row r="5" spans="1:29" s="4277" customFormat="1" ht="3" customHeight="1">
      <c r="A5" s="694"/>
      <c r="B5" s="355"/>
      <c r="C5" s="694"/>
      <c r="D5" s="102"/>
      <c r="E5" s="44"/>
      <c r="F5" s="447"/>
      <c r="G5" s="105"/>
      <c r="H5" s="105"/>
      <c r="I5" s="106"/>
      <c r="J5" s="94"/>
      <c r="K5" s="94"/>
      <c r="L5" s="94"/>
      <c r="M5" s="94"/>
      <c r="N5" s="164"/>
      <c r="O5" s="94"/>
      <c r="P5" s="163"/>
      <c r="Q5" s="163"/>
      <c r="R5" s="163"/>
      <c r="S5" s="163"/>
      <c r="AC5" s="57">
        <v>3</v>
      </c>
    </row>
    <row r="6" spans="1:29" s="4277" customFormat="1" ht="20.25" hidden="1" customHeight="1">
      <c r="A6" s="769"/>
      <c r="B6" s="765"/>
      <c r="C6" s="107"/>
      <c r="D6" s="102"/>
      <c r="E6" s="712"/>
      <c r="F6" s="712"/>
      <c r="G6" s="105"/>
      <c r="H6" s="108"/>
      <c r="I6" s="108"/>
      <c r="J6" s="94"/>
      <c r="K6" s="94"/>
      <c r="L6" s="94"/>
      <c r="M6" s="94"/>
      <c r="N6" s="164"/>
      <c r="O6" s="94"/>
      <c r="P6" s="163"/>
      <c r="Q6" s="163"/>
      <c r="R6" s="163"/>
      <c r="S6" s="163"/>
      <c r="AC6" s="57">
        <v>0</v>
      </c>
    </row>
    <row r="7" spans="1:29" ht="25.5" hidden="1" customHeight="1">
      <c r="AC7" s="24">
        <v>0</v>
      </c>
    </row>
    <row r="8" spans="1:29" s="4277" customFormat="1" ht="14.65" customHeight="1">
      <c r="A8" s="694"/>
      <c r="B8" s="355"/>
      <c r="C8" s="694"/>
      <c r="D8" s="102"/>
      <c r="E8" s="5309" t="s">
        <v>86</v>
      </c>
      <c r="F8" s="5314"/>
      <c r="G8" s="5308"/>
      <c r="H8" s="5315" t="s">
        <v>87</v>
      </c>
      <c r="I8" s="5315"/>
      <c r="J8" s="94"/>
      <c r="K8" s="94"/>
      <c r="L8" s="94"/>
      <c r="M8" s="94"/>
      <c r="N8" s="164"/>
      <c r="O8" s="94"/>
      <c r="P8" s="163"/>
      <c r="Q8" s="163"/>
      <c r="R8" s="163"/>
      <c r="S8" s="163"/>
      <c r="AC8" s="57">
        <v>14</v>
      </c>
    </row>
    <row r="9" spans="1:29" s="4277" customFormat="1" ht="21" customHeight="1">
      <c r="A9" s="694"/>
      <c r="B9" s="355"/>
      <c r="C9" s="694"/>
      <c r="D9" s="102"/>
      <c r="E9" s="710" t="s">
        <v>88</v>
      </c>
      <c r="F9" s="710"/>
      <c r="G9" s="110" t="s">
        <v>89</v>
      </c>
      <c r="H9" s="110" t="s">
        <v>89</v>
      </c>
      <c r="I9" s="110" t="s">
        <v>85</v>
      </c>
      <c r="J9" s="94"/>
      <c r="K9" s="94"/>
      <c r="L9" s="94"/>
      <c r="M9" s="94"/>
      <c r="N9" s="164"/>
      <c r="O9" s="94"/>
      <c r="P9" s="163"/>
      <c r="Q9" s="163"/>
      <c r="R9" s="163"/>
      <c r="S9" s="163"/>
      <c r="AC9" s="57">
        <v>20</v>
      </c>
    </row>
    <row r="10" spans="1:29" ht="11.45" customHeight="1">
      <c r="D10" s="114"/>
      <c r="E10" s="711" t="s">
        <v>90</v>
      </c>
      <c r="F10" s="711"/>
      <c r="G10" s="161" t="s">
        <v>91</v>
      </c>
      <c r="H10" s="161" t="s">
        <v>92</v>
      </c>
      <c r="I10" s="161" t="s">
        <v>93</v>
      </c>
      <c r="J10" s="124"/>
      <c r="K10" s="124"/>
      <c r="L10" s="124"/>
      <c r="M10" s="124"/>
      <c r="N10" s="109"/>
      <c r="O10" s="124"/>
      <c r="P10" s="162"/>
      <c r="Q10" s="162"/>
      <c r="R10" s="162"/>
      <c r="S10" s="162"/>
      <c r="AC10" s="24">
        <v>11</v>
      </c>
    </row>
    <row r="11" spans="1:29" s="4277" customFormat="1" ht="1.1499999999999999" customHeight="1">
      <c r="A11" s="694"/>
      <c r="B11" s="355"/>
      <c r="C11" s="694"/>
      <c r="D11" s="102"/>
      <c r="E11" s="722"/>
      <c r="F11" s="722"/>
      <c r="G11" s="111"/>
      <c r="H11" s="111"/>
      <c r="I11" s="113"/>
      <c r="J11" s="187" t="s">
        <v>94</v>
      </c>
      <c r="K11" s="94"/>
      <c r="L11" s="94"/>
      <c r="M11" s="94" t="s">
        <v>95</v>
      </c>
      <c r="N11" s="164" t="s">
        <v>96</v>
      </c>
      <c r="O11" s="94" t="s">
        <v>97</v>
      </c>
      <c r="P11" s="163"/>
      <c r="Q11" s="163"/>
      <c r="R11" s="163"/>
      <c r="S11" s="163"/>
      <c r="AC11" s="57">
        <v>1</v>
      </c>
    </row>
    <row r="12" spans="1:29" s="4277" customFormat="1" ht="15" customHeight="1">
      <c r="A12" s="5312">
        <v>1</v>
      </c>
      <c r="B12" s="355"/>
      <c r="C12" s="694"/>
      <c r="D12" s="714"/>
      <c r="E12" s="157">
        <f>A12</f>
        <v>1</v>
      </c>
      <c r="F12" s="734" t="s">
        <v>98</v>
      </c>
      <c r="G12" s="478" t="str">
        <f>"Территория "&amp;E12</f>
        <v>Территория 1</v>
      </c>
      <c r="H12" s="724"/>
      <c r="I12" s="724"/>
      <c r="J12" s="721"/>
      <c r="K12" s="438"/>
      <c r="L12" s="438"/>
      <c r="M12" s="438"/>
      <c r="N12" s="164"/>
      <c r="O12" s="438"/>
      <c r="P12" s="163"/>
      <c r="Q12" s="163"/>
      <c r="R12" s="163"/>
      <c r="S12" s="163"/>
      <c r="AC12" s="445">
        <v>14</v>
      </c>
    </row>
    <row r="13" spans="1:29" s="4278" customFormat="1" ht="15.75" customHeight="1">
      <c r="A13" s="5312"/>
      <c r="B13" s="355">
        <v>1</v>
      </c>
      <c r="C13" s="355"/>
      <c r="D13" s="732"/>
      <c r="E13" s="713" t="str">
        <f>A12&amp;"."&amp;B13</f>
        <v>1.1</v>
      </c>
      <c r="F13" s="727" t="s">
        <v>99</v>
      </c>
      <c r="G13" s="725" t="s">
        <v>100</v>
      </c>
      <c r="H13" s="725" t="s">
        <v>100</v>
      </c>
      <c r="I13" s="723" t="s">
        <v>101</v>
      </c>
      <c r="J13" s="438" t="e">
        <f ca="1">MERGEVALUE(G13)</f>
        <v>#NAME?</v>
      </c>
      <c r="K13" s="449"/>
      <c r="L13" s="449"/>
      <c r="M13" s="438" t="str">
        <f t="array" ref="M13">IF(ISERROR(MATCH(MID(N13,1,250),MID(note_ter,1,250),0)),"n","y")</f>
        <v>n</v>
      </c>
      <c r="N13" s="449"/>
      <c r="O13" s="438" t="str">
        <f>H13&amp;"("&amp;I13&amp;")"</f>
        <v>Хасанский муниципальный округ(05548000)</v>
      </c>
      <c r="P13" s="355"/>
      <c r="Q13" s="355"/>
      <c r="R13" s="358"/>
      <c r="S13" s="355"/>
      <c r="T13" s="355"/>
      <c r="U13" s="355"/>
      <c r="V13" s="360"/>
      <c r="W13" s="360"/>
      <c r="X13" s="357"/>
      <c r="Y13" s="357"/>
      <c r="Z13" s="357"/>
      <c r="AA13" s="357"/>
      <c r="AB13" s="357"/>
      <c r="AC13" s="361">
        <v>15</v>
      </c>
    </row>
    <row r="14" spans="1:29" s="4278" customFormat="1" ht="15.75" customHeight="1">
      <c r="A14" s="5312"/>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ht="15" customHeight="1">
      <c r="A15" s="5316" t="s">
        <v>103</v>
      </c>
      <c r="B15" s="1081"/>
      <c r="C15" s="733" t="s">
        <v>104</v>
      </c>
      <c r="D15" s="1738"/>
      <c r="E15" s="1725" t="str">
        <f>A15</f>
        <v>2</v>
      </c>
      <c r="F15" s="736" t="s">
        <v>105</v>
      </c>
      <c r="G15" s="478" t="str">
        <f>"Территория "&amp;E15</f>
        <v>Территория 2</v>
      </c>
      <c r="H15" s="724"/>
      <c r="I15" s="724"/>
      <c r="J15" s="721"/>
      <c r="K15" s="1545"/>
      <c r="L15" s="1545"/>
      <c r="M15" s="1545"/>
      <c r="N15" s="164"/>
      <c r="O15" s="1545"/>
      <c r="P15" s="163"/>
      <c r="Q15" s="163"/>
      <c r="R15" s="163"/>
      <c r="S15" s="163"/>
      <c r="T15" s="2010"/>
      <c r="U15" s="2010"/>
      <c r="V15" s="2010"/>
      <c r="W15" s="2010"/>
      <c r="X15" s="2010"/>
      <c r="Y15" s="2010"/>
      <c r="Z15" s="2010"/>
      <c r="AA15" s="2010"/>
      <c r="AB15" s="2010"/>
      <c r="AC15" s="2010"/>
    </row>
    <row r="16" spans="1:29" ht="15" customHeight="1">
      <c r="A16" s="5316"/>
      <c r="B16" s="1081">
        <v>1</v>
      </c>
      <c r="C16" s="1081"/>
      <c r="D16" s="732"/>
      <c r="E16" s="1733" t="str">
        <f>A15&amp;"."&amp;B16</f>
        <v>2.1</v>
      </c>
      <c r="F16" s="735" t="s">
        <v>106</v>
      </c>
      <c r="G16" s="725" t="s">
        <v>107</v>
      </c>
      <c r="H16" s="725" t="s">
        <v>107</v>
      </c>
      <c r="I16" s="723" t="s">
        <v>108</v>
      </c>
      <c r="J16" s="1545"/>
      <c r="K16" s="1557"/>
      <c r="L16" s="1557"/>
      <c r="M16" s="1545" t="str">
        <f t="array" ref="M16">IF(ISERROR(MATCH(MID(N16,1,250),MID(note_ter,1,250),0)),"n","y")</f>
        <v>n</v>
      </c>
      <c r="N16" s="1557"/>
      <c r="O16" s="1545" t="str">
        <f>H16&amp;"("&amp;I16&amp;")"</f>
        <v>Шкотовский муниципальный округ(05557000)</v>
      </c>
      <c r="P16" s="1081"/>
      <c r="Q16" s="1081"/>
      <c r="R16" s="358"/>
      <c r="S16" s="1081"/>
      <c r="T16" s="1081"/>
      <c r="U16" s="1081"/>
      <c r="V16" s="360"/>
      <c r="W16" s="360"/>
      <c r="X16" s="357"/>
      <c r="Y16" s="357"/>
      <c r="Z16" s="357"/>
      <c r="AA16" s="357"/>
      <c r="AB16" s="357"/>
      <c r="AC16" s="357"/>
    </row>
    <row r="17" spans="1:29" ht="15" customHeight="1">
      <c r="A17" s="5316"/>
      <c r="B17" s="1081"/>
      <c r="C17" s="350"/>
      <c r="D17" s="733"/>
      <c r="E17" s="359"/>
      <c r="F17" s="115"/>
      <c r="G17" s="353" t="s">
        <v>102</v>
      </c>
      <c r="H17" s="125"/>
      <c r="I17" s="362"/>
      <c r="J17" s="1557"/>
      <c r="K17" s="1557"/>
      <c r="L17" s="1557"/>
      <c r="M17" s="1557"/>
      <c r="N17" s="1545"/>
      <c r="O17" s="1557"/>
      <c r="P17" s="1081"/>
      <c r="Q17" s="1081"/>
      <c r="R17" s="358"/>
      <c r="S17" s="1081"/>
      <c r="T17" s="1081"/>
      <c r="U17" s="1081"/>
      <c r="V17" s="360"/>
      <c r="W17" s="360"/>
      <c r="X17" s="357"/>
      <c r="Y17" s="357"/>
      <c r="Z17" s="357"/>
      <c r="AA17" s="357"/>
      <c r="AB17" s="357"/>
      <c r="AC17" s="357"/>
    </row>
    <row r="18" spans="1:29" ht="15" customHeight="1">
      <c r="A18" s="5316" t="s">
        <v>90</v>
      </c>
      <c r="B18" s="1081"/>
      <c r="C18" s="733" t="s">
        <v>104</v>
      </c>
      <c r="D18" s="1738"/>
      <c r="E18" s="1725" t="str">
        <f>A18</f>
        <v>3</v>
      </c>
      <c r="F18" s="736" t="s">
        <v>109</v>
      </c>
      <c r="G18" s="478" t="str">
        <f>"Территория "&amp;E18</f>
        <v>Территория 3</v>
      </c>
      <c r="H18" s="724"/>
      <c r="I18" s="724"/>
      <c r="J18" s="721"/>
      <c r="K18" s="1545"/>
      <c r="L18" s="1545"/>
      <c r="M18" s="1545"/>
      <c r="N18" s="164"/>
      <c r="O18" s="1545"/>
      <c r="P18" s="163"/>
      <c r="Q18" s="163"/>
      <c r="R18" s="163"/>
      <c r="S18" s="163"/>
      <c r="T18" s="2010"/>
      <c r="U18" s="2010"/>
      <c r="V18" s="2010"/>
      <c r="W18" s="2010"/>
      <c r="X18" s="2010"/>
      <c r="Y18" s="2010"/>
      <c r="Z18" s="2010"/>
      <c r="AA18" s="2010"/>
      <c r="AB18" s="2010"/>
      <c r="AC18" s="2010"/>
    </row>
    <row r="19" spans="1:29" ht="15" customHeight="1">
      <c r="A19" s="5316"/>
      <c r="B19" s="1081">
        <v>1</v>
      </c>
      <c r="C19" s="1081"/>
      <c r="D19" s="732"/>
      <c r="E19" s="1733" t="str">
        <f>A18&amp;"."&amp;B19</f>
        <v>3.1</v>
      </c>
      <c r="F19" s="735" t="s">
        <v>110</v>
      </c>
      <c r="G19" s="725" t="s">
        <v>111</v>
      </c>
      <c r="H19" s="725" t="s">
        <v>111</v>
      </c>
      <c r="I19" s="723" t="s">
        <v>112</v>
      </c>
      <c r="J19" s="1545"/>
      <c r="K19" s="1557"/>
      <c r="L19" s="1557"/>
      <c r="M19" s="1545" t="str">
        <f t="array" ref="M19">IF(ISERROR(MATCH(MID(N19,1,250),MID(note_ter,1,250),0)),"n","y")</f>
        <v>n</v>
      </c>
      <c r="N19" s="1557"/>
      <c r="O19" s="1545" t="str">
        <f>H19&amp;"("&amp;I19&amp;")"</f>
        <v>Кавалеровский муниципальный округ(05510000)</v>
      </c>
      <c r="P19" s="1081"/>
      <c r="Q19" s="1081"/>
      <c r="R19" s="358"/>
      <c r="S19" s="1081"/>
      <c r="T19" s="1081"/>
      <c r="U19" s="1081"/>
      <c r="V19" s="360"/>
      <c r="W19" s="360"/>
      <c r="X19" s="357"/>
      <c r="Y19" s="357"/>
      <c r="Z19" s="357"/>
      <c r="AA19" s="357"/>
      <c r="AB19" s="357"/>
      <c r="AC19" s="357"/>
    </row>
    <row r="20" spans="1:29" ht="15" customHeight="1">
      <c r="A20" s="5316"/>
      <c r="B20" s="1081"/>
      <c r="C20" s="350"/>
      <c r="D20" s="733"/>
      <c r="E20" s="359"/>
      <c r="F20" s="115"/>
      <c r="G20" s="353" t="s">
        <v>102</v>
      </c>
      <c r="H20" s="125"/>
      <c r="I20" s="362"/>
      <c r="J20" s="1557"/>
      <c r="K20" s="1557"/>
      <c r="L20" s="1557"/>
      <c r="M20" s="1557"/>
      <c r="N20" s="1545"/>
      <c r="O20" s="1557"/>
      <c r="P20" s="1081"/>
      <c r="Q20" s="1081"/>
      <c r="R20" s="358"/>
      <c r="S20" s="1081"/>
      <c r="T20" s="1081"/>
      <c r="U20" s="1081"/>
      <c r="V20" s="360"/>
      <c r="W20" s="360"/>
      <c r="X20" s="357"/>
      <c r="Y20" s="357"/>
      <c r="Z20" s="357"/>
      <c r="AA20" s="357"/>
      <c r="AB20" s="357"/>
      <c r="AC20" s="357"/>
    </row>
    <row r="21" spans="1:29" ht="15" customHeight="1">
      <c r="A21" s="5316" t="s">
        <v>91</v>
      </c>
      <c r="B21" s="1081"/>
      <c r="C21" s="733" t="s">
        <v>104</v>
      </c>
      <c r="D21" s="1738"/>
      <c r="E21" s="1725" t="str">
        <f>A21</f>
        <v>4</v>
      </c>
      <c r="F21" s="736" t="s">
        <v>113</v>
      </c>
      <c r="G21" s="478" t="str">
        <f>"Территория "&amp;E21</f>
        <v>Территория 4</v>
      </c>
      <c r="H21" s="724"/>
      <c r="I21" s="724"/>
      <c r="J21" s="721"/>
      <c r="K21" s="1545"/>
      <c r="L21" s="1545"/>
      <c r="M21" s="1545"/>
      <c r="N21" s="164"/>
      <c r="O21" s="1545"/>
      <c r="P21" s="163"/>
      <c r="Q21" s="163"/>
      <c r="R21" s="163"/>
      <c r="S21" s="163"/>
      <c r="T21" s="2010"/>
      <c r="U21" s="2010"/>
      <c r="V21" s="2010"/>
      <c r="W21" s="2010"/>
      <c r="X21" s="2010"/>
      <c r="Y21" s="2010"/>
      <c r="Z21" s="2010"/>
      <c r="AA21" s="2010"/>
      <c r="AB21" s="2010"/>
      <c r="AC21" s="2010"/>
    </row>
    <row r="22" spans="1:29" ht="15" customHeight="1">
      <c r="A22" s="5316"/>
      <c r="B22" s="1081">
        <v>1</v>
      </c>
      <c r="C22" s="1081"/>
      <c r="D22" s="732"/>
      <c r="E22" s="1733" t="str">
        <f>A21&amp;"."&amp;B22</f>
        <v>4.1</v>
      </c>
      <c r="F22" s="735" t="s">
        <v>92</v>
      </c>
      <c r="G22" s="725" t="s">
        <v>114</v>
      </c>
      <c r="H22" s="725" t="s">
        <v>114</v>
      </c>
      <c r="I22" s="723" t="s">
        <v>115</v>
      </c>
      <c r="J22" s="1545"/>
      <c r="K22" s="1557"/>
      <c r="L22" s="1557"/>
      <c r="M22" s="1545" t="str">
        <f t="array" ref="M22">IF(ISERROR(MATCH(MID(N22,1,250),MID(note_ter,1,250),0)),"n","y")</f>
        <v>n</v>
      </c>
      <c r="N22" s="1557"/>
      <c r="O22" s="1545" t="str">
        <f>H22&amp;"("&amp;I22&amp;")"</f>
        <v>Дальнегорский городской округ(05707000)</v>
      </c>
      <c r="P22" s="1081"/>
      <c r="Q22" s="1081"/>
      <c r="R22" s="358"/>
      <c r="S22" s="1081"/>
      <c r="T22" s="1081"/>
      <c r="U22" s="1081"/>
      <c r="V22" s="360"/>
      <c r="W22" s="360"/>
      <c r="X22" s="357"/>
      <c r="Y22" s="357"/>
      <c r="Z22" s="357"/>
      <c r="AA22" s="357"/>
      <c r="AB22" s="357"/>
      <c r="AC22" s="357"/>
    </row>
    <row r="23" spans="1:29" ht="15" customHeight="1">
      <c r="A23" s="5316"/>
      <c r="B23" s="1081"/>
      <c r="C23" s="350"/>
      <c r="D23" s="733"/>
      <c r="E23" s="359"/>
      <c r="F23" s="115"/>
      <c r="G23" s="353" t="s">
        <v>102</v>
      </c>
      <c r="H23" s="125"/>
      <c r="I23" s="362"/>
      <c r="J23" s="1557"/>
      <c r="K23" s="1557"/>
      <c r="L23" s="1557"/>
      <c r="M23" s="1557"/>
      <c r="N23" s="1545"/>
      <c r="O23" s="1557"/>
      <c r="P23" s="1081"/>
      <c r="Q23" s="1081"/>
      <c r="R23" s="358"/>
      <c r="S23" s="1081"/>
      <c r="T23" s="1081"/>
      <c r="U23" s="1081"/>
      <c r="V23" s="360"/>
      <c r="W23" s="360"/>
      <c r="X23" s="357"/>
      <c r="Y23" s="357"/>
      <c r="Z23" s="357"/>
      <c r="AA23" s="357"/>
      <c r="AB23" s="357"/>
      <c r="AC23" s="357"/>
    </row>
    <row r="24" spans="1:29" ht="15" customHeight="1">
      <c r="A24" s="5316" t="s">
        <v>116</v>
      </c>
      <c r="B24" s="1081"/>
      <c r="C24" s="733" t="s">
        <v>104</v>
      </c>
      <c r="D24" s="1738"/>
      <c r="E24" s="1725" t="str">
        <f>A24</f>
        <v>5</v>
      </c>
      <c r="F24" s="736" t="s">
        <v>117</v>
      </c>
      <c r="G24" s="478" t="str">
        <f>"Территория "&amp;E24</f>
        <v>Территория 5</v>
      </c>
      <c r="H24" s="724"/>
      <c r="I24" s="724"/>
      <c r="J24" s="721"/>
      <c r="K24" s="1545"/>
      <c r="L24" s="1545"/>
      <c r="M24" s="1545"/>
      <c r="N24" s="164"/>
      <c r="O24" s="1545"/>
      <c r="P24" s="163"/>
      <c r="Q24" s="163"/>
      <c r="R24" s="163"/>
      <c r="S24" s="163"/>
      <c r="T24" s="2010"/>
      <c r="U24" s="2010"/>
      <c r="V24" s="2010"/>
      <c r="W24" s="2010"/>
      <c r="X24" s="2010"/>
      <c r="Y24" s="2010"/>
      <c r="Z24" s="2010"/>
      <c r="AA24" s="2010"/>
      <c r="AB24" s="2010"/>
      <c r="AC24" s="2010"/>
    </row>
    <row r="25" spans="1:29" ht="15" customHeight="1">
      <c r="A25" s="5316"/>
      <c r="B25" s="1081">
        <v>1</v>
      </c>
      <c r="C25" s="1081"/>
      <c r="D25" s="732"/>
      <c r="E25" s="1733" t="str">
        <f>A24&amp;"."&amp;B25</f>
        <v>5.1</v>
      </c>
      <c r="F25" s="735" t="s">
        <v>118</v>
      </c>
      <c r="G25" s="725" t="s">
        <v>119</v>
      </c>
      <c r="H25" s="725" t="s">
        <v>120</v>
      </c>
      <c r="I25" s="723" t="s">
        <v>121</v>
      </c>
      <c r="J25" s="1545"/>
      <c r="K25" s="1557"/>
      <c r="L25" s="1557"/>
      <c r="M25" s="1545" t="str">
        <f t="array" ref="M25">IF(ISERROR(MATCH(MID(N25,1,250),MID(note_ter,1,250),0)),"n","y")</f>
        <v>n</v>
      </c>
      <c r="N25" s="1557"/>
      <c r="O25" s="1545" t="str">
        <f>H25&amp;"("&amp;I25&amp;")"</f>
        <v>Новошахтинское городское поселение(05620154)</v>
      </c>
      <c r="P25" s="1081"/>
      <c r="Q25" s="1081"/>
      <c r="R25" s="358"/>
      <c r="S25" s="1081"/>
      <c r="T25" s="1081"/>
      <c r="U25" s="1081"/>
      <c r="V25" s="360"/>
      <c r="W25" s="360"/>
      <c r="X25" s="357"/>
      <c r="Y25" s="357"/>
      <c r="Z25" s="357"/>
      <c r="AA25" s="357"/>
      <c r="AB25" s="357"/>
      <c r="AC25" s="357"/>
    </row>
    <row r="26" spans="1:29" ht="15" customHeight="1">
      <c r="A26" s="5316"/>
      <c r="B26" s="1081"/>
      <c r="C26" s="350"/>
      <c r="D26" s="733"/>
      <c r="E26" s="359"/>
      <c r="F26" s="115"/>
      <c r="G26" s="353" t="s">
        <v>102</v>
      </c>
      <c r="H26" s="125"/>
      <c r="I26" s="362"/>
      <c r="J26" s="1557"/>
      <c r="K26" s="1557"/>
      <c r="L26" s="1557"/>
      <c r="M26" s="1557"/>
      <c r="N26" s="1545"/>
      <c r="O26" s="1557"/>
      <c r="P26" s="1081"/>
      <c r="Q26" s="1081"/>
      <c r="R26" s="358"/>
      <c r="S26" s="1081"/>
      <c r="T26" s="1081"/>
      <c r="U26" s="1081"/>
      <c r="V26" s="360"/>
      <c r="W26" s="360"/>
      <c r="X26" s="357"/>
      <c r="Y26" s="357"/>
      <c r="Z26" s="357"/>
      <c r="AA26" s="357"/>
      <c r="AB26" s="357"/>
      <c r="AC26" s="357"/>
    </row>
    <row r="27" spans="1:29" ht="15" customHeight="1">
      <c r="A27" s="5316" t="s">
        <v>92</v>
      </c>
      <c r="B27" s="1081"/>
      <c r="C27" s="733" t="s">
        <v>104</v>
      </c>
      <c r="D27" s="1738"/>
      <c r="E27" s="1725" t="str">
        <f>A27</f>
        <v>6</v>
      </c>
      <c r="F27" s="736" t="s">
        <v>122</v>
      </c>
      <c r="G27" s="478" t="str">
        <f>"Территория "&amp;E27</f>
        <v>Территория 6</v>
      </c>
      <c r="H27" s="724"/>
      <c r="I27" s="724"/>
      <c r="J27" s="721"/>
      <c r="K27" s="1545"/>
      <c r="L27" s="1545"/>
      <c r="M27" s="1545"/>
      <c r="N27" s="164"/>
      <c r="O27" s="1545"/>
      <c r="P27" s="163"/>
      <c r="Q27" s="163"/>
      <c r="R27" s="163"/>
      <c r="S27" s="163"/>
      <c r="T27" s="2010"/>
      <c r="U27" s="2010"/>
      <c r="V27" s="2010"/>
      <c r="W27" s="2010"/>
      <c r="X27" s="2010"/>
      <c r="Y27" s="2010"/>
      <c r="Z27" s="2010"/>
      <c r="AA27" s="2010"/>
      <c r="AB27" s="2010"/>
      <c r="AC27" s="2010"/>
    </row>
    <row r="28" spans="1:29" ht="15" customHeight="1">
      <c r="A28" s="5316"/>
      <c r="B28" s="1081">
        <v>1</v>
      </c>
      <c r="C28" s="1081"/>
      <c r="D28" s="732"/>
      <c r="E28" s="1733" t="str">
        <f>A27&amp;"."&amp;B28</f>
        <v>6.1</v>
      </c>
      <c r="F28" s="735" t="s">
        <v>123</v>
      </c>
      <c r="G28" s="725" t="s">
        <v>124</v>
      </c>
      <c r="H28" s="725" t="s">
        <v>124</v>
      </c>
      <c r="I28" s="723" t="s">
        <v>125</v>
      </c>
      <c r="J28" s="1545"/>
      <c r="K28" s="1557"/>
      <c r="L28" s="1557"/>
      <c r="M28" s="1545" t="str">
        <f t="array" ref="M28">IF(ISERROR(MATCH(MID(N28,1,250),MID(note_ter,1,250),0)),"n","y")</f>
        <v>n</v>
      </c>
      <c r="N28" s="1557"/>
      <c r="O28" s="1545" t="str">
        <f>H28&amp;"("&amp;I28&amp;")"</f>
        <v>городской округ ЗАТО Фокино(05747000)</v>
      </c>
      <c r="P28" s="1081"/>
      <c r="Q28" s="1081"/>
      <c r="R28" s="358"/>
      <c r="S28" s="1081"/>
      <c r="T28" s="1081"/>
      <c r="U28" s="1081"/>
      <c r="V28" s="360"/>
      <c r="W28" s="360"/>
      <c r="X28" s="357"/>
      <c r="Y28" s="357"/>
      <c r="Z28" s="357"/>
      <c r="AA28" s="357"/>
      <c r="AB28" s="357"/>
      <c r="AC28" s="357"/>
    </row>
    <row r="29" spans="1:29" ht="15" customHeight="1">
      <c r="A29" s="5316"/>
      <c r="B29" s="1081"/>
      <c r="C29" s="350"/>
      <c r="D29" s="733"/>
      <c r="E29" s="359"/>
      <c r="F29" s="115"/>
      <c r="G29" s="353" t="s">
        <v>102</v>
      </c>
      <c r="H29" s="125"/>
      <c r="I29" s="362"/>
      <c r="J29" s="1557"/>
      <c r="K29" s="1557"/>
      <c r="L29" s="1557"/>
      <c r="M29" s="1557"/>
      <c r="N29" s="1545"/>
      <c r="O29" s="1557"/>
      <c r="P29" s="1081"/>
      <c r="Q29" s="1081"/>
      <c r="R29" s="358"/>
      <c r="S29" s="1081"/>
      <c r="T29" s="1081"/>
      <c r="U29" s="1081"/>
      <c r="V29" s="360"/>
      <c r="W29" s="360"/>
      <c r="X29" s="357"/>
      <c r="Y29" s="357"/>
      <c r="Z29" s="357"/>
      <c r="AA29" s="357"/>
      <c r="AB29" s="357"/>
      <c r="AC29" s="357"/>
    </row>
    <row r="30" spans="1:29" ht="15" customHeight="1">
      <c r="A30" s="5316" t="s">
        <v>93</v>
      </c>
      <c r="B30" s="1081"/>
      <c r="C30" s="733" t="s">
        <v>104</v>
      </c>
      <c r="D30" s="1738"/>
      <c r="E30" s="1725" t="str">
        <f>A30</f>
        <v>7</v>
      </c>
      <c r="F30" s="736" t="s">
        <v>126</v>
      </c>
      <c r="G30" s="478" t="str">
        <f>"Территория "&amp;E30</f>
        <v>Территория 7</v>
      </c>
      <c r="H30" s="724"/>
      <c r="I30" s="724"/>
      <c r="J30" s="721"/>
      <c r="K30" s="1545"/>
      <c r="L30" s="1545"/>
      <c r="M30" s="1545"/>
      <c r="N30" s="164"/>
      <c r="O30" s="1545"/>
      <c r="P30" s="163"/>
      <c r="Q30" s="163"/>
      <c r="R30" s="163"/>
      <c r="S30" s="163"/>
      <c r="T30" s="2010"/>
      <c r="U30" s="2010"/>
      <c r="V30" s="2010"/>
      <c r="W30" s="2010"/>
      <c r="X30" s="2010"/>
      <c r="Y30" s="2010"/>
      <c r="Z30" s="2010"/>
      <c r="AA30" s="2010"/>
      <c r="AB30" s="2010"/>
      <c r="AC30" s="2010"/>
    </row>
    <row r="31" spans="1:29" ht="15" customHeight="1">
      <c r="A31" s="5316"/>
      <c r="B31" s="1081">
        <v>1</v>
      </c>
      <c r="C31" s="1081"/>
      <c r="D31" s="732"/>
      <c r="E31" s="1733" t="str">
        <f>A30&amp;"."&amp;B31</f>
        <v>7.1</v>
      </c>
      <c r="F31" s="735" t="s">
        <v>116</v>
      </c>
      <c r="G31" s="725" t="s">
        <v>127</v>
      </c>
      <c r="H31" s="725" t="s">
        <v>127</v>
      </c>
      <c r="I31" s="723" t="s">
        <v>128</v>
      </c>
      <c r="J31" s="1545"/>
      <c r="K31" s="1557"/>
      <c r="L31" s="1557"/>
      <c r="M31" s="1545" t="str">
        <f t="array" ref="M31">IF(ISERROR(MATCH(MID(N31,1,250),MID(note_ter,1,250),0)),"n","y")</f>
        <v>n</v>
      </c>
      <c r="N31" s="1557"/>
      <c r="O31" s="1545" t="str">
        <f>H31&amp;"("&amp;I31&amp;")"</f>
        <v>Городской округ Спасск-Дальний(05720000)</v>
      </c>
      <c r="P31" s="1081"/>
      <c r="Q31" s="1081"/>
      <c r="R31" s="358"/>
      <c r="S31" s="1081"/>
      <c r="T31" s="1081"/>
      <c r="U31" s="1081"/>
      <c r="V31" s="360"/>
      <c r="W31" s="360"/>
      <c r="X31" s="357"/>
      <c r="Y31" s="357"/>
      <c r="Z31" s="357"/>
      <c r="AA31" s="357"/>
      <c r="AB31" s="357"/>
      <c r="AC31" s="357"/>
    </row>
    <row r="32" spans="1:29" ht="15" customHeight="1">
      <c r="A32" s="5316"/>
      <c r="B32" s="1081"/>
      <c r="C32" s="350"/>
      <c r="D32" s="733"/>
      <c r="E32" s="359"/>
      <c r="F32" s="115"/>
      <c r="G32" s="353" t="s">
        <v>102</v>
      </c>
      <c r="H32" s="125"/>
      <c r="I32" s="362"/>
      <c r="J32" s="1557"/>
      <c r="K32" s="1557"/>
      <c r="L32" s="1557"/>
      <c r="M32" s="1557"/>
      <c r="N32" s="1545"/>
      <c r="O32" s="1557"/>
      <c r="P32" s="1081"/>
      <c r="Q32" s="1081"/>
      <c r="R32" s="358"/>
      <c r="S32" s="1081"/>
      <c r="T32" s="1081"/>
      <c r="U32" s="1081"/>
      <c r="V32" s="360"/>
      <c r="W32" s="360"/>
      <c r="X32" s="357"/>
      <c r="Y32" s="357"/>
      <c r="Z32" s="357"/>
      <c r="AA32" s="357"/>
      <c r="AB32" s="357"/>
      <c r="AC32" s="357"/>
    </row>
    <row r="33" spans="1:29" ht="15" customHeight="1">
      <c r="A33" s="5316" t="s">
        <v>129</v>
      </c>
      <c r="B33" s="1081"/>
      <c r="C33" s="733" t="s">
        <v>104</v>
      </c>
      <c r="D33" s="1738"/>
      <c r="E33" s="1725" t="str">
        <f>A33</f>
        <v>8</v>
      </c>
      <c r="F33" s="736" t="s">
        <v>130</v>
      </c>
      <c r="G33" s="478" t="str">
        <f>"Территория "&amp;E33</f>
        <v>Территория 8</v>
      </c>
      <c r="H33" s="724"/>
      <c r="I33" s="724"/>
      <c r="J33" s="721"/>
      <c r="K33" s="1545"/>
      <c r="L33" s="1545"/>
      <c r="M33" s="1545"/>
      <c r="N33" s="164"/>
      <c r="O33" s="1545"/>
      <c r="P33" s="163"/>
      <c r="Q33" s="163"/>
      <c r="R33" s="163"/>
      <c r="S33" s="163"/>
      <c r="T33" s="2010"/>
      <c r="U33" s="2010"/>
      <c r="V33" s="2010"/>
      <c r="W33" s="2010"/>
      <c r="X33" s="2010"/>
      <c r="Y33" s="2010"/>
      <c r="Z33" s="2010"/>
      <c r="AA33" s="2010"/>
      <c r="AB33" s="2010"/>
      <c r="AC33" s="2010"/>
    </row>
    <row r="34" spans="1:29" ht="15" customHeight="1">
      <c r="A34" s="5316"/>
      <c r="B34" s="1081">
        <v>1</v>
      </c>
      <c r="C34" s="1081"/>
      <c r="D34" s="732"/>
      <c r="E34" s="1733" t="str">
        <f>A33&amp;"."&amp;B34</f>
        <v>8.1</v>
      </c>
      <c r="F34" s="735" t="s">
        <v>131</v>
      </c>
      <c r="G34" s="725" t="s">
        <v>132</v>
      </c>
      <c r="H34" s="725" t="s">
        <v>132</v>
      </c>
      <c r="I34" s="723" t="s">
        <v>133</v>
      </c>
      <c r="J34" s="1545"/>
      <c r="K34" s="1557"/>
      <c r="L34" s="1557"/>
      <c r="M34" s="1545" t="str">
        <f t="array" ref="M34">IF(ISERROR(MATCH(MID(N34,1,250),MID(note_ter,1,250),0)),"n","y")</f>
        <v>n</v>
      </c>
      <c r="N34" s="1557"/>
      <c r="O34" s="1545" t="str">
        <f>H34&amp;"("&amp;I34&amp;")"</f>
        <v>Черниговский муниципальный округ(05553000)</v>
      </c>
      <c r="P34" s="1081"/>
      <c r="Q34" s="1081"/>
      <c r="R34" s="358"/>
      <c r="S34" s="1081"/>
      <c r="T34" s="1081"/>
      <c r="U34" s="1081"/>
      <c r="V34" s="360"/>
      <c r="W34" s="360"/>
      <c r="X34" s="357"/>
      <c r="Y34" s="357"/>
      <c r="Z34" s="357"/>
      <c r="AA34" s="357"/>
      <c r="AB34" s="357"/>
      <c r="AC34" s="357"/>
    </row>
    <row r="35" spans="1:29" ht="15" customHeight="1">
      <c r="A35" s="5316"/>
      <c r="B35" s="1081"/>
      <c r="C35" s="350"/>
      <c r="D35" s="733"/>
      <c r="E35" s="359"/>
      <c r="F35" s="115"/>
      <c r="G35" s="353" t="s">
        <v>102</v>
      </c>
      <c r="H35" s="125"/>
      <c r="I35" s="362"/>
      <c r="J35" s="1557"/>
      <c r="K35" s="1557"/>
      <c r="L35" s="1557"/>
      <c r="M35" s="1557"/>
      <c r="N35" s="1545"/>
      <c r="O35" s="1557"/>
      <c r="P35" s="1081"/>
      <c r="Q35" s="1081"/>
      <c r="R35" s="358"/>
      <c r="S35" s="1081"/>
      <c r="T35" s="1081"/>
      <c r="U35" s="1081"/>
      <c r="V35" s="360"/>
      <c r="W35" s="360"/>
      <c r="X35" s="357"/>
      <c r="Y35" s="357"/>
      <c r="Z35" s="357"/>
      <c r="AA35" s="357"/>
      <c r="AB35" s="357"/>
      <c r="AC35" s="357"/>
    </row>
    <row r="36" spans="1:29" ht="15" customHeight="1">
      <c r="A36" s="5316" t="s">
        <v>134</v>
      </c>
      <c r="B36" s="1081"/>
      <c r="C36" s="733" t="s">
        <v>104</v>
      </c>
      <c r="D36" s="1738"/>
      <c r="E36" s="1725" t="str">
        <f>A36</f>
        <v>9</v>
      </c>
      <c r="F36" s="736" t="s">
        <v>135</v>
      </c>
      <c r="G36" s="478" t="str">
        <f>"Территория "&amp;E36</f>
        <v>Территория 9</v>
      </c>
      <c r="H36" s="724"/>
      <c r="I36" s="724"/>
      <c r="J36" s="721"/>
      <c r="K36" s="1545"/>
      <c r="L36" s="1545"/>
      <c r="M36" s="1545"/>
      <c r="N36" s="164"/>
      <c r="O36" s="1545"/>
      <c r="P36" s="163"/>
      <c r="Q36" s="163"/>
      <c r="R36" s="163"/>
      <c r="S36" s="163"/>
      <c r="T36" s="2010"/>
      <c r="U36" s="2010"/>
      <c r="V36" s="2010"/>
      <c r="W36" s="2010"/>
      <c r="X36" s="2010"/>
      <c r="Y36" s="2010"/>
      <c r="Z36" s="2010"/>
      <c r="AA36" s="2010"/>
      <c r="AB36" s="2010"/>
      <c r="AC36" s="2010"/>
    </row>
    <row r="37" spans="1:29" ht="15" customHeight="1">
      <c r="A37" s="5316"/>
      <c r="B37" s="1081">
        <v>1</v>
      </c>
      <c r="C37" s="1081"/>
      <c r="D37" s="732"/>
      <c r="E37" s="1733" t="str">
        <f>A36&amp;"."&amp;B37</f>
        <v>9.1</v>
      </c>
      <c r="F37" s="735" t="s">
        <v>136</v>
      </c>
      <c r="G37" s="725" t="s">
        <v>137</v>
      </c>
      <c r="H37" s="725" t="s">
        <v>137</v>
      </c>
      <c r="I37" s="723" t="s">
        <v>138</v>
      </c>
      <c r="J37" s="1545"/>
      <c r="K37" s="1557"/>
      <c r="L37" s="1557"/>
      <c r="M37" s="1545" t="str">
        <f t="array" ref="M37">IF(ISERROR(MATCH(MID(N37,1,250),MID(note_ter,1,250),0)),"n","y")</f>
        <v>n</v>
      </c>
      <c r="N37" s="1557"/>
      <c r="O37" s="1545" t="str">
        <f>H37&amp;"("&amp;I37&amp;")"</f>
        <v>Анучинский муниципальный округ(05502000)</v>
      </c>
      <c r="P37" s="1081"/>
      <c r="Q37" s="1081"/>
      <c r="R37" s="358"/>
      <c r="S37" s="1081"/>
      <c r="T37" s="1081"/>
      <c r="U37" s="1081"/>
      <c r="V37" s="360"/>
      <c r="W37" s="360"/>
      <c r="X37" s="357"/>
      <c r="Y37" s="357"/>
      <c r="Z37" s="357"/>
      <c r="AA37" s="357"/>
      <c r="AB37" s="357"/>
      <c r="AC37" s="357"/>
    </row>
    <row r="38" spans="1:29" ht="15" customHeight="1">
      <c r="A38" s="5316"/>
      <c r="B38" s="1081"/>
      <c r="C38" s="350"/>
      <c r="D38" s="733"/>
      <c r="E38" s="359"/>
      <c r="F38" s="115"/>
      <c r="G38" s="353" t="s">
        <v>102</v>
      </c>
      <c r="H38" s="125"/>
      <c r="I38" s="362"/>
      <c r="J38" s="1557"/>
      <c r="K38" s="1557"/>
      <c r="L38" s="1557"/>
      <c r="M38" s="1557"/>
      <c r="N38" s="1545"/>
      <c r="O38" s="1557"/>
      <c r="P38" s="1081"/>
      <c r="Q38" s="1081"/>
      <c r="R38" s="358"/>
      <c r="S38" s="1081"/>
      <c r="T38" s="1081"/>
      <c r="U38" s="1081"/>
      <c r="V38" s="360"/>
      <c r="W38" s="360"/>
      <c r="X38" s="357"/>
      <c r="Y38" s="357"/>
      <c r="Z38" s="357"/>
      <c r="AA38" s="357"/>
      <c r="AB38" s="357"/>
      <c r="AC38" s="357"/>
    </row>
    <row r="39" spans="1:29" s="4277" customFormat="1" ht="14.65" customHeight="1">
      <c r="A39" s="694"/>
      <c r="B39" s="355"/>
      <c r="C39" s="694"/>
      <c r="D39" s="714"/>
      <c r="E39" s="726"/>
      <c r="F39" s="116"/>
      <c r="G39" s="354" t="s">
        <v>139</v>
      </c>
      <c r="H39" s="116"/>
      <c r="I39" s="117"/>
      <c r="J39" s="187"/>
      <c r="K39" s="94"/>
      <c r="L39" s="94"/>
      <c r="M39" s="94"/>
      <c r="N39" s="164" t="s">
        <v>140</v>
      </c>
      <c r="O39" s="94"/>
      <c r="P39" s="163"/>
      <c r="Q39" s="163"/>
      <c r="R39" s="163"/>
      <c r="S39" s="163"/>
      <c r="AC39" s="57">
        <v>14</v>
      </c>
    </row>
    <row r="40" spans="1:29" s="4277" customFormat="1" ht="21.95" customHeight="1">
      <c r="A40" s="694"/>
      <c r="B40" s="355"/>
      <c r="C40" s="694"/>
      <c r="D40" s="103"/>
      <c r="E40" s="118"/>
      <c r="F40" s="118"/>
      <c r="G40" s="118"/>
      <c r="H40" s="118"/>
      <c r="I40" s="118"/>
      <c r="J40" s="94"/>
      <c r="K40" s="94"/>
      <c r="L40" s="94"/>
      <c r="M40" s="94"/>
      <c r="N40" s="164"/>
      <c r="O40" s="94"/>
      <c r="P40" s="163"/>
      <c r="Q40" s="163"/>
      <c r="R40" s="163"/>
      <c r="S40" s="163"/>
      <c r="AC40" s="57">
        <v>21</v>
      </c>
    </row>
    <row r="41" spans="1:29" s="4277" customFormat="1" ht="14.65" customHeight="1">
      <c r="A41" s="694"/>
      <c r="B41" s="355"/>
      <c r="C41" s="694"/>
      <c r="D41" s="103"/>
      <c r="E41" s="24"/>
      <c r="F41" s="694"/>
      <c r="G41" s="24"/>
      <c r="H41" s="24"/>
      <c r="I41" s="24"/>
      <c r="J41" s="94"/>
      <c r="K41" s="94"/>
      <c r="L41" s="94"/>
      <c r="M41" s="94"/>
      <c r="N41" s="164"/>
      <c r="O41" s="94"/>
      <c r="P41" s="163"/>
      <c r="Q41" s="163"/>
      <c r="R41" s="163"/>
      <c r="S41" s="163"/>
      <c r="AC41" s="57">
        <v>14</v>
      </c>
    </row>
    <row r="42" spans="1:29" s="4277" customFormat="1" ht="1.1499999999999999" customHeight="1">
      <c r="A42" s="694"/>
      <c r="B42" s="355"/>
      <c r="C42" s="694"/>
      <c r="D42" s="103"/>
      <c r="E42" s="24"/>
      <c r="F42" s="694"/>
      <c r="G42" s="24"/>
      <c r="H42" s="24"/>
      <c r="I42" s="24"/>
      <c r="J42" s="94"/>
      <c r="K42" s="94"/>
      <c r="L42" s="94"/>
      <c r="M42" s="94"/>
      <c r="N42" s="164"/>
      <c r="O42" s="94"/>
      <c r="P42" s="163"/>
      <c r="Q42" s="163"/>
      <c r="R42" s="163"/>
      <c r="S42" s="163"/>
      <c r="AC42" s="57">
        <v>1</v>
      </c>
    </row>
    <row r="43" spans="1:29" s="4279" customFormat="1" ht="10.5" customHeight="1">
      <c r="B43" s="766"/>
      <c r="D43" s="120"/>
      <c r="J43" s="94"/>
      <c r="K43" s="94"/>
      <c r="L43" s="94"/>
      <c r="M43" s="94"/>
      <c r="N43" s="164"/>
      <c r="O43" s="94"/>
      <c r="P43" s="163"/>
      <c r="Q43" s="163"/>
      <c r="R43" s="163"/>
      <c r="S43" s="163"/>
      <c r="AC43" s="119">
        <v>10</v>
      </c>
    </row>
    <row r="44" spans="1:29" s="4279" customFormat="1" ht="10.5" customHeight="1">
      <c r="B44" s="766"/>
      <c r="D44" s="120"/>
      <c r="J44" s="94"/>
      <c r="K44" s="94"/>
      <c r="L44" s="94"/>
      <c r="M44" s="94"/>
      <c r="N44" s="164"/>
      <c r="O44" s="94"/>
      <c r="P44" s="163"/>
      <c r="Q44" s="163"/>
      <c r="R44" s="163"/>
      <c r="S44" s="163"/>
      <c r="AC44" s="119">
        <v>10</v>
      </c>
    </row>
    <row r="45" spans="1:29" ht="14.65" customHeight="1">
      <c r="AC45" s="24">
        <v>14</v>
      </c>
    </row>
    <row r="46" spans="1:29" ht="14.65" customHeight="1">
      <c r="AC46" s="24">
        <v>14</v>
      </c>
    </row>
    <row r="47" spans="1:29" ht="14.65" customHeight="1">
      <c r="AC47" s="24">
        <v>14</v>
      </c>
    </row>
    <row r="48" spans="1:29" ht="14.65" customHeight="1">
      <c r="H48" s="4"/>
      <c r="AC48" s="24">
        <v>14</v>
      </c>
    </row>
    <row r="49" spans="1:29" ht="14.65" customHeight="1">
      <c r="AC49" s="24">
        <v>14</v>
      </c>
    </row>
    <row r="50" spans="1:29" ht="14.65" customHeight="1">
      <c r="AC50" s="24">
        <v>14</v>
      </c>
    </row>
    <row r="51" spans="1:29" ht="14.65" customHeight="1">
      <c r="AC51" s="24">
        <v>14</v>
      </c>
    </row>
    <row r="52" spans="1:29" ht="14.65" customHeight="1">
      <c r="J52" s="24"/>
      <c r="K52" s="24"/>
      <c r="L52" s="24"/>
      <c r="AC52" s="24">
        <v>14</v>
      </c>
    </row>
    <row r="53" spans="1:29" ht="22.5" hidden="1" customHeight="1">
      <c r="A53" s="694" t="s">
        <v>82</v>
      </c>
      <c r="B53" s="355">
        <v>0</v>
      </c>
      <c r="C53" s="694">
        <v>3</v>
      </c>
      <c r="D53" s="103">
        <v>3</v>
      </c>
      <c r="E53" s="24">
        <v>6</v>
      </c>
      <c r="F53" s="694">
        <v>0</v>
      </c>
      <c r="G53" s="24">
        <v>46</v>
      </c>
      <c r="H53" s="24">
        <v>42</v>
      </c>
      <c r="I53" s="24">
        <v>14</v>
      </c>
      <c r="J53" s="94">
        <v>3</v>
      </c>
      <c r="K53" s="94">
        <v>0</v>
      </c>
      <c r="L53" s="94">
        <v>0</v>
      </c>
      <c r="M53" s="94">
        <v>0</v>
      </c>
      <c r="N53" s="164">
        <v>0</v>
      </c>
      <c r="O53" s="94">
        <v>0</v>
      </c>
      <c r="P53" s="163">
        <v>0</v>
      </c>
      <c r="Q53" s="163">
        <v>0</v>
      </c>
      <c r="R53" s="163">
        <v>0</v>
      </c>
      <c r="S53" s="163">
        <v>0</v>
      </c>
      <c r="T53" s="24">
        <v>0</v>
      </c>
      <c r="U53" s="24">
        <v>0</v>
      </c>
      <c r="V53" s="24">
        <v>0</v>
      </c>
      <c r="W53" s="24">
        <v>0</v>
      </c>
      <c r="X53" s="24">
        <v>0</v>
      </c>
      <c r="Y53" s="24">
        <v>0</v>
      </c>
      <c r="Z53" s="24">
        <v>0</v>
      </c>
      <c r="AA53" s="24">
        <v>0</v>
      </c>
      <c r="AB53" s="24">
        <v>8</v>
      </c>
      <c r="AC53" s="24">
        <v>23</v>
      </c>
    </row>
  </sheetData>
  <sheetProtection formatColumns="0" formatRows="0" insertRows="0" deleteColumns="0" deleteRows="0" sort="0" autoFilter="0"/>
  <mergeCells count="12">
    <mergeCell ref="A33:A35"/>
    <mergeCell ref="A36:A38"/>
    <mergeCell ref="A18:A20"/>
    <mergeCell ref="A21:A23"/>
    <mergeCell ref="A24:A26"/>
    <mergeCell ref="A27:A29"/>
    <mergeCell ref="A30:A32"/>
    <mergeCell ref="A12:A14"/>
    <mergeCell ref="E4:I4"/>
    <mergeCell ref="E8:G8"/>
    <mergeCell ref="H8:I8"/>
    <mergeCell ref="A15:A17"/>
  </mergeCells>
  <dataValidations count="9">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4.140625" style="4274" hidden="1" customWidth="1"/>
    <col min="10" max="10" width="9.85546875" style="4274" hidden="1" customWidth="1"/>
    <col min="11" max="11" width="14.710937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5" style="4267" customWidth="1"/>
    <col min="21" max="21" width="0.140625" style="4267" customWidth="1"/>
    <col min="22" max="28" width="19.7109375" style="4267" hidden="1" customWidth="1"/>
    <col min="29" max="29" width="11.7109375" style="4267" hidden="1" customWidth="1"/>
    <col min="30" max="30" width="3.7109375" style="4267" hidden="1" customWidth="1"/>
    <col min="31" max="31" width="11.7109375" style="4267" hidden="1" customWidth="1"/>
    <col min="32" max="32" width="8.5703125" style="4267" hidden="1" customWidth="1"/>
    <col min="33" max="33" width="19.7109375" style="4267" customWidth="1"/>
    <col min="34" max="39" width="19" style="4267" customWidth="1"/>
    <col min="40" max="40" width="11" style="4267" customWidth="1"/>
    <col min="41" max="41" width="3.7109375" style="4267" customWidth="1"/>
    <col min="42" max="42" width="11" style="4267" customWidth="1"/>
    <col min="43" max="43" width="8.5703125" style="4267" hidden="1" customWidth="1"/>
    <col min="44" max="44" width="4" style="4267" customWidth="1"/>
    <col min="45" max="45" width="115" style="4267" customWidth="1"/>
    <col min="46" max="50" width="10" style="4275" customWidth="1"/>
    <col min="51" max="51" width="10.5703125" style="4267" hidden="1"/>
  </cols>
  <sheetData>
    <row r="1" spans="1:51" ht="22.5" hidden="1" customHeight="1">
      <c r="AC1" s="265"/>
      <c r="AN1" s="265"/>
      <c r="AY1" s="1076" t="s">
        <v>14</v>
      </c>
    </row>
    <row r="2" spans="1:51" ht="23.25" hidden="1" customHeight="1">
      <c r="A2" s="1284"/>
      <c r="B2" s="1284"/>
      <c r="C2" s="1284"/>
      <c r="D2" s="1284"/>
      <c r="E2" s="5469">
        <v>1</v>
      </c>
      <c r="F2" s="1284"/>
      <c r="G2" s="1284"/>
      <c r="H2" s="1284"/>
      <c r="I2" s="1284"/>
      <c r="J2" s="1284"/>
      <c r="K2" s="1284"/>
      <c r="L2" s="1285"/>
      <c r="M2" s="1286"/>
      <c r="N2" s="1286"/>
      <c r="O2" s="1286"/>
      <c r="P2" s="299"/>
      <c r="Q2" s="298"/>
      <c r="R2" s="293"/>
      <c r="S2" s="1414" t="e">
        <f>INDEX(PT_DIFFERENTIATION_NUM_NTAR,MATCH(A2,PT_DIFFERENTIATION_NTAR_ID,0))</f>
        <v>#N/A</v>
      </c>
      <c r="T2" s="236" t="s">
        <v>155</v>
      </c>
      <c r="U2" s="238"/>
      <c r="V2" s="5463"/>
      <c r="W2" s="5464"/>
      <c r="X2" s="5464"/>
      <c r="Y2" s="5464"/>
      <c r="Z2" s="5464"/>
      <c r="AA2" s="5464"/>
      <c r="AB2" s="5464"/>
      <c r="AC2" s="5464"/>
      <c r="AD2" s="5464"/>
      <c r="AE2" s="5464"/>
      <c r="AF2" s="5465"/>
      <c r="AG2" s="5463" t="e">
        <f>INDEX(PT_DIFFERENTIATION_NTAR,MATCH(A2,PT_DIFFERENTIATION_NTAR_ID,0))</f>
        <v>#N/A</v>
      </c>
      <c r="AH2" s="5464"/>
      <c r="AI2" s="5464"/>
      <c r="AJ2" s="5464"/>
      <c r="AK2" s="5464"/>
      <c r="AL2" s="5464"/>
      <c r="AM2" s="5464"/>
      <c r="AN2" s="5464"/>
      <c r="AO2" s="5464"/>
      <c r="AP2" s="5464"/>
      <c r="AQ2" s="5464"/>
      <c r="AR2" s="5465"/>
      <c r="AS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76">
        <v>0</v>
      </c>
    </row>
    <row r="3" spans="1:51" ht="23.25" hidden="1" customHeight="1">
      <c r="A3" s="1284"/>
      <c r="B3" s="1284"/>
      <c r="C3" s="1284"/>
      <c r="D3" s="1284"/>
      <c r="E3" s="5470"/>
      <c r="F3" s="5469">
        <v>1</v>
      </c>
      <c r="G3" s="1284"/>
      <c r="H3" s="1284"/>
      <c r="I3" s="1284"/>
      <c r="J3" s="1284"/>
      <c r="K3" s="1284"/>
      <c r="L3" s="1285"/>
      <c r="M3" s="1286"/>
      <c r="N3" s="1286"/>
      <c r="O3" s="1286"/>
      <c r="P3" s="1408"/>
      <c r="Q3" s="290"/>
      <c r="R3" s="291"/>
      <c r="S3" s="1414" t="e">
        <f>INDEX(PT_DIFFERENTIATION_NUM_TER,MATCH(B3,PT_DIFFERENTIATION_TER_ID,0))</f>
        <v>#N/A</v>
      </c>
      <c r="T3" s="246" t="s">
        <v>490</v>
      </c>
      <c r="U3" s="238"/>
      <c r="V3" s="5463"/>
      <c r="W3" s="5464"/>
      <c r="X3" s="5464"/>
      <c r="Y3" s="5464"/>
      <c r="Z3" s="5464"/>
      <c r="AA3" s="5464"/>
      <c r="AB3" s="5464"/>
      <c r="AC3" s="5464"/>
      <c r="AD3" s="5464"/>
      <c r="AE3" s="5464"/>
      <c r="AF3" s="5465"/>
      <c r="AG3" s="5463" t="e">
        <f>INDEX(PT_DIFFERENTIATION_TER,MATCH(B3,PT_DIFFERENTIATION_TER_ID,0))</f>
        <v>#N/A</v>
      </c>
      <c r="AH3" s="5464"/>
      <c r="AI3" s="5464"/>
      <c r="AJ3" s="5464"/>
      <c r="AK3" s="5464"/>
      <c r="AL3" s="5464"/>
      <c r="AM3" s="5464"/>
      <c r="AN3" s="5464"/>
      <c r="AO3" s="5464"/>
      <c r="AP3" s="5464"/>
      <c r="AQ3" s="5464"/>
      <c r="AR3" s="5465"/>
      <c r="AS3" s="1179" t="s">
        <v>491</v>
      </c>
      <c r="AU3" s="438"/>
      <c r="AV3" s="438" t="str">
        <f t="shared" si="0"/>
        <v>Территория действия тарифа</v>
      </c>
      <c r="AW3" s="438"/>
      <c r="AX3" s="438"/>
      <c r="AY3" s="1076">
        <v>0</v>
      </c>
    </row>
    <row r="4" spans="1:51" ht="23.25" hidden="1" customHeight="1">
      <c r="A4" s="1284"/>
      <c r="B4" s="1284"/>
      <c r="C4" s="1284"/>
      <c r="D4" s="1284"/>
      <c r="E4" s="5470"/>
      <c r="F4" s="5470"/>
      <c r="G4" s="5469">
        <v>1</v>
      </c>
      <c r="H4" s="1284"/>
      <c r="I4" s="1284"/>
      <c r="J4" s="1284"/>
      <c r="K4" s="1284"/>
      <c r="L4" s="1285"/>
      <c r="M4" s="1286"/>
      <c r="N4" s="1286"/>
      <c r="O4" s="1286"/>
      <c r="P4" s="292"/>
      <c r="Q4" s="290"/>
      <c r="R4" s="291"/>
      <c r="S4" s="1414" t="e">
        <f>INDEX(PT_DIFFERENTIATION_NUM_CS,MATCH(C4,PT_DIFFERENTIATION_CS_ID,0))</f>
        <v>#N/A</v>
      </c>
      <c r="T4" s="247" t="s">
        <v>622</v>
      </c>
      <c r="U4" s="238"/>
      <c r="V4" s="5463"/>
      <c r="W4" s="5464"/>
      <c r="X4" s="5464"/>
      <c r="Y4" s="5464"/>
      <c r="Z4" s="5464"/>
      <c r="AA4" s="5464"/>
      <c r="AB4" s="5464"/>
      <c r="AC4" s="5464"/>
      <c r="AD4" s="5464"/>
      <c r="AE4" s="5464"/>
      <c r="AF4" s="5465"/>
      <c r="AG4" s="5463" t="e">
        <f>INDEX(PT_DIFFERENTIATION_CS,MATCH(C4,PT_DIFFERENTIATION_CS_ID,0))</f>
        <v>#N/A</v>
      </c>
      <c r="AH4" s="5464"/>
      <c r="AI4" s="5464"/>
      <c r="AJ4" s="5464"/>
      <c r="AK4" s="5464"/>
      <c r="AL4" s="5464"/>
      <c r="AM4" s="5464"/>
      <c r="AN4" s="5464"/>
      <c r="AO4" s="5464"/>
      <c r="AP4" s="5464"/>
      <c r="AQ4" s="5464"/>
      <c r="AR4" s="5465"/>
      <c r="AS4" s="1179" t="s">
        <v>623</v>
      </c>
      <c r="AU4" s="438"/>
      <c r="AV4" s="438" t="str">
        <f t="shared" si="0"/>
        <v>Наименование централизованной системы горячего водоснабжения</v>
      </c>
      <c r="AW4" s="438"/>
      <c r="AX4" s="438"/>
      <c r="AY4" s="1076">
        <v>0</v>
      </c>
    </row>
    <row r="5" spans="1:51" ht="23.25" hidden="1" customHeight="1">
      <c r="A5" s="1284"/>
      <c r="B5" s="1284"/>
      <c r="C5" s="1284"/>
      <c r="D5" s="1284"/>
      <c r="E5" s="5470"/>
      <c r="F5" s="5470"/>
      <c r="G5" s="5470"/>
      <c r="H5" s="5470"/>
      <c r="I5" s="5471" t="e">
        <f>S4&amp;".1"</f>
        <v>#N/A</v>
      </c>
      <c r="J5" s="1284"/>
      <c r="K5" s="1284"/>
      <c r="L5" s="1285"/>
      <c r="P5" s="5473">
        <v>1</v>
      </c>
      <c r="Q5" s="1402"/>
      <c r="R5" s="294"/>
      <c r="S5" s="1414" t="e">
        <f>$I5</f>
        <v>#N/A</v>
      </c>
      <c r="T5" s="223" t="s">
        <v>573</v>
      </c>
      <c r="U5" s="238"/>
      <c r="V5" s="5537"/>
      <c r="W5" s="5538"/>
      <c r="X5" s="5538"/>
      <c r="Y5" s="5538"/>
      <c r="Z5" s="5538"/>
      <c r="AA5" s="5538"/>
      <c r="AB5" s="5538"/>
      <c r="AC5" s="5538"/>
      <c r="AD5" s="5538"/>
      <c r="AE5" s="5538"/>
      <c r="AF5" s="5539"/>
      <c r="AG5" s="5540"/>
      <c r="AH5" s="5541"/>
      <c r="AI5" s="5541"/>
      <c r="AJ5" s="5541"/>
      <c r="AK5" s="5541"/>
      <c r="AL5" s="5541"/>
      <c r="AM5" s="5541"/>
      <c r="AN5" s="5541"/>
      <c r="AO5" s="5541"/>
      <c r="AP5" s="5541"/>
      <c r="AQ5" s="5541"/>
      <c r="AR5" s="5542"/>
      <c r="AS5" s="1179" t="s">
        <v>574</v>
      </c>
      <c r="AU5" s="438"/>
      <c r="AV5" s="438" t="str">
        <f t="shared" si="0"/>
        <v>Наименование признака дифференциации</v>
      </c>
      <c r="AW5" s="438"/>
      <c r="AX5" s="438"/>
      <c r="AY5" s="1076">
        <v>0</v>
      </c>
    </row>
    <row r="6" spans="1:51" ht="23.25" hidden="1" customHeight="1">
      <c r="A6" s="1284"/>
      <c r="B6" s="1284"/>
      <c r="C6" s="1284"/>
      <c r="D6" s="1284"/>
      <c r="E6" s="5470"/>
      <c r="F6" s="5470"/>
      <c r="G6" s="5470"/>
      <c r="H6" s="5470"/>
      <c r="I6" s="5472"/>
      <c r="J6" s="5471" t="e">
        <f>I5&amp;".1"</f>
        <v>#N/A</v>
      </c>
      <c r="K6" s="1284"/>
      <c r="L6" s="1285" t="s">
        <v>499</v>
      </c>
      <c r="P6" s="5473"/>
      <c r="Q6" s="5473">
        <v>1</v>
      </c>
      <c r="R6" s="295"/>
      <c r="S6" s="1414" t="e">
        <f>$J6</f>
        <v>#N/A</v>
      </c>
      <c r="T6" s="224" t="s">
        <v>500</v>
      </c>
      <c r="U6" s="238"/>
      <c r="V6" s="5457"/>
      <c r="W6" s="5458"/>
      <c r="X6" s="5458"/>
      <c r="Y6" s="5458"/>
      <c r="Z6" s="5458"/>
      <c r="AA6" s="5458"/>
      <c r="AB6" s="5458"/>
      <c r="AC6" s="5458"/>
      <c r="AD6" s="5458"/>
      <c r="AE6" s="5458"/>
      <c r="AF6" s="5459"/>
      <c r="AG6" s="5457"/>
      <c r="AH6" s="5458"/>
      <c r="AI6" s="5458"/>
      <c r="AJ6" s="5458"/>
      <c r="AK6" s="5458"/>
      <c r="AL6" s="5458"/>
      <c r="AM6" s="5458"/>
      <c r="AN6" s="5458"/>
      <c r="AO6" s="5458"/>
      <c r="AP6" s="5458"/>
      <c r="AQ6" s="5458"/>
      <c r="AR6" s="5459"/>
      <c r="AS6" s="1228" t="s">
        <v>575</v>
      </c>
      <c r="AU6" s="438"/>
      <c r="AV6" s="438" t="str">
        <f t="shared" si="0"/>
        <v>Группа потребителей</v>
      </c>
      <c r="AW6" s="438"/>
      <c r="AX6" s="438"/>
      <c r="AY6" s="1076">
        <v>0</v>
      </c>
    </row>
    <row r="7" spans="1:51" ht="23.25" hidden="1" customHeight="1">
      <c r="A7" s="1284"/>
      <c r="B7" s="1284"/>
      <c r="C7" s="1284"/>
      <c r="D7" s="1284"/>
      <c r="E7" s="5470"/>
      <c r="F7" s="5470"/>
      <c r="G7" s="5470"/>
      <c r="H7" s="5470"/>
      <c r="I7" s="5472"/>
      <c r="J7" s="5472"/>
      <c r="K7" s="5471" t="e">
        <f>J6&amp;".1"</f>
        <v>#N/A</v>
      </c>
      <c r="L7" s="1285"/>
      <c r="P7" s="5473"/>
      <c r="Q7" s="5473"/>
      <c r="R7" s="295">
        <v>1</v>
      </c>
      <c r="S7" s="1414" t="e">
        <f>$K7</f>
        <v>#N/A</v>
      </c>
      <c r="T7" s="1358"/>
      <c r="U7" s="238"/>
      <c r="V7" s="689"/>
      <c r="W7" s="689"/>
      <c r="X7" s="689"/>
      <c r="Y7" s="689"/>
      <c r="Z7" s="689"/>
      <c r="AA7" s="689"/>
      <c r="AB7" s="689"/>
      <c r="AC7" s="5474"/>
      <c r="AD7" s="5338" t="s">
        <v>66</v>
      </c>
      <c r="AE7" s="5474"/>
      <c r="AF7" s="5338" t="s">
        <v>66</v>
      </c>
      <c r="AG7" s="689"/>
      <c r="AH7" s="689"/>
      <c r="AI7" s="689"/>
      <c r="AJ7" s="689"/>
      <c r="AK7" s="689"/>
      <c r="AL7" s="689"/>
      <c r="AM7" s="689"/>
      <c r="AN7" s="5474"/>
      <c r="AO7" s="5338" t="s">
        <v>66</v>
      </c>
      <c r="AP7" s="5476"/>
      <c r="AQ7" s="5338" t="s">
        <v>66</v>
      </c>
      <c r="AR7" s="1359"/>
      <c r="AS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76">
        <v>0</v>
      </c>
    </row>
    <row r="8" spans="1:51" ht="14.25" hidden="1" customHeight="1">
      <c r="A8" s="1284"/>
      <c r="B8" s="1284"/>
      <c r="C8" s="1284"/>
      <c r="D8" s="1284"/>
      <c r="E8" s="5470"/>
      <c r="F8" s="5470"/>
      <c r="G8" s="5470"/>
      <c r="H8" s="5470"/>
      <c r="I8" s="5472"/>
      <c r="J8" s="5472"/>
      <c r="K8" s="5471"/>
      <c r="L8" s="1285"/>
      <c r="P8" s="5473"/>
      <c r="Q8" s="5473"/>
      <c r="R8" s="295"/>
      <c r="S8" s="1411"/>
      <c r="T8" s="238"/>
      <c r="U8" s="238"/>
      <c r="V8" s="263"/>
      <c r="W8" s="263"/>
      <c r="X8" s="263"/>
      <c r="Y8" s="263"/>
      <c r="Z8" s="263"/>
      <c r="AA8" s="263"/>
      <c r="AB8" s="263"/>
      <c r="AC8" s="5475"/>
      <c r="AD8" s="5338"/>
      <c r="AE8" s="5475"/>
      <c r="AF8" s="5338"/>
      <c r="AG8" s="263"/>
      <c r="AH8" s="263"/>
      <c r="AI8" s="263"/>
      <c r="AJ8" s="263"/>
      <c r="AK8" s="263"/>
      <c r="AL8" s="263"/>
      <c r="AM8" s="263"/>
      <c r="AN8" s="5475"/>
      <c r="AO8" s="5338"/>
      <c r="AP8" s="5477"/>
      <c r="AQ8" s="5338"/>
      <c r="AR8" s="1360"/>
      <c r="AS8" s="5543"/>
      <c r="AU8" s="438"/>
      <c r="AV8" s="438" t="str">
        <f t="shared" si="0"/>
        <v/>
      </c>
      <c r="AW8" s="438"/>
      <c r="AX8" s="438"/>
      <c r="AY8" s="1076">
        <v>0</v>
      </c>
    </row>
    <row r="9" spans="1:51" ht="21" hidden="1" customHeight="1">
      <c r="A9" s="1284"/>
      <c r="B9" s="1284"/>
      <c r="C9" s="1284"/>
      <c r="D9" s="1284"/>
      <c r="E9" s="5470"/>
      <c r="F9" s="5470"/>
      <c r="G9" s="5470"/>
      <c r="H9" s="5470"/>
      <c r="I9" s="5472"/>
      <c r="J9" s="5471"/>
      <c r="K9" s="1284"/>
      <c r="L9" s="1285"/>
      <c r="P9" s="5473"/>
      <c r="Q9" s="5473"/>
      <c r="R9" s="294"/>
      <c r="S9" s="1199"/>
      <c r="T9" s="225" t="s">
        <v>576</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79" t="s">
        <v>577</v>
      </c>
      <c r="AU9" s="438"/>
      <c r="AV9" s="438" t="str">
        <f t="shared" si="0"/>
        <v>Добавить значение признака дифференциации</v>
      </c>
      <c r="AW9" s="438"/>
      <c r="AX9" s="438"/>
      <c r="AY9" s="1076">
        <v>0</v>
      </c>
    </row>
    <row r="10" spans="1:51" ht="21" hidden="1" customHeight="1">
      <c r="A10" s="1284"/>
      <c r="B10" s="1284"/>
      <c r="C10" s="1284"/>
      <c r="D10" s="1284"/>
      <c r="E10" s="5470"/>
      <c r="F10" s="5470"/>
      <c r="G10" s="5470"/>
      <c r="H10" s="5470"/>
      <c r="I10" s="5471"/>
      <c r="J10" s="1284"/>
      <c r="K10" s="1284"/>
      <c r="L10" s="1285"/>
      <c r="P10" s="5473"/>
      <c r="Q10" s="1402"/>
      <c r="R10" s="294"/>
      <c r="S10" s="1199"/>
      <c r="T10" s="303" t="s">
        <v>505</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1"/>
      <c r="AU10" s="438"/>
      <c r="AV10" s="438" t="str">
        <f t="shared" si="0"/>
        <v>Добавить группу потребителей</v>
      </c>
      <c r="AW10" s="438"/>
      <c r="AX10" s="438"/>
      <c r="AY10" s="1076">
        <v>0</v>
      </c>
    </row>
    <row r="11" spans="1:51" ht="21" hidden="1" customHeight="1">
      <c r="A11" s="1284"/>
      <c r="B11" s="1284"/>
      <c r="C11" s="1284"/>
      <c r="D11" s="1284"/>
      <c r="E11" s="5470"/>
      <c r="F11" s="5470"/>
      <c r="G11" s="5470"/>
      <c r="H11" s="5469"/>
      <c r="I11" s="1284"/>
      <c r="J11" s="1284"/>
      <c r="K11" s="1284"/>
      <c r="L11" s="1285"/>
      <c r="M11" s="1286"/>
      <c r="N11" s="1286"/>
      <c r="O11" s="475"/>
      <c r="P11" s="298"/>
      <c r="Q11" s="313"/>
      <c r="R11" s="293"/>
      <c r="S11" s="1199"/>
      <c r="T11" s="310" t="s">
        <v>578</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76">
        <v>0</v>
      </c>
    </row>
    <row r="12" spans="1:51" s="4275" customFormat="1" ht="14.25" hidden="1" customHeight="1">
      <c r="A12" s="1264"/>
      <c r="B12" s="1264"/>
      <c r="C12" s="1235"/>
      <c r="D12" s="1235"/>
      <c r="E12" s="5470"/>
      <c r="F12" s="5469"/>
      <c r="G12" s="1235"/>
      <c r="H12" s="1235"/>
      <c r="I12" s="1235"/>
      <c r="J12" s="1235"/>
      <c r="K12" s="1235"/>
      <c r="L12" s="1415"/>
      <c r="M12" s="1242"/>
      <c r="N12" s="1242"/>
      <c r="P12" s="1237"/>
      <c r="Q12" s="1238"/>
      <c r="R12" s="1237"/>
      <c r="S12" s="1243"/>
      <c r="T12" s="1246" t="s">
        <v>312</v>
      </c>
      <c r="U12" s="1245"/>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c r="AU12" s="721"/>
      <c r="AV12" s="721" t="str">
        <f t="shared" si="0"/>
        <v>Добавить централизованную систему для дифференциации</v>
      </c>
      <c r="AW12" s="721"/>
      <c r="AX12" s="721"/>
      <c r="AY12" s="456">
        <v>0</v>
      </c>
    </row>
    <row r="13" spans="1:51" s="4275" customFormat="1" ht="14.25" hidden="1" customHeight="1">
      <c r="A13" s="1264"/>
      <c r="B13" s="1264"/>
      <c r="C13" s="1264"/>
      <c r="D13" s="1264"/>
      <c r="E13" s="5469"/>
      <c r="F13" s="1264"/>
      <c r="G13" s="1264"/>
      <c r="H13" s="1264"/>
      <c r="I13" s="1264"/>
      <c r="J13" s="1264"/>
      <c r="K13" s="1264"/>
      <c r="L13" s="1267"/>
      <c r="M13" s="1242"/>
      <c r="N13" s="1242"/>
      <c r="O13" s="456"/>
      <c r="P13" s="318"/>
      <c r="Q13" s="1265"/>
      <c r="R13" s="318"/>
      <c r="S13" s="1243"/>
      <c r="T13" s="1246" t="s">
        <v>360</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U13" s="438"/>
      <c r="AV13" s="438" t="str">
        <f t="shared" si="0"/>
        <v>Добавить территорию для дифференциации</v>
      </c>
      <c r="AW13" s="438"/>
      <c r="AX13" s="438"/>
      <c r="AY13" s="449">
        <v>0</v>
      </c>
    </row>
    <row r="14" spans="1:51" ht="14.25" hidden="1" customHeight="1">
      <c r="AF14" s="265"/>
      <c r="AQ14" s="265"/>
      <c r="AY14" s="1076">
        <v>0</v>
      </c>
    </row>
    <row r="15" spans="1:51" ht="14.25" hidden="1" customHeight="1">
      <c r="AG15" s="1281"/>
      <c r="AH15" s="1281"/>
      <c r="AI15" s="1281"/>
      <c r="AJ15" s="1281"/>
      <c r="AK15" s="1281"/>
      <c r="AL15" s="1281"/>
      <c r="AM15" s="1281"/>
      <c r="AN15" s="5467"/>
      <c r="AO15" s="5466" t="s">
        <v>66</v>
      </c>
      <c r="AP15" s="5467"/>
      <c r="AQ15" s="5466" t="s">
        <v>66</v>
      </c>
      <c r="AY15" s="1076">
        <v>0</v>
      </c>
    </row>
    <row r="16" spans="1:51" ht="14.25" hidden="1" customHeight="1">
      <c r="AG16" s="1281"/>
      <c r="AH16" s="1281"/>
      <c r="AI16" s="1281"/>
      <c r="AJ16" s="1281"/>
      <c r="AK16" s="1281"/>
      <c r="AL16" s="1281"/>
      <c r="AM16" s="1281"/>
      <c r="AN16" s="5466"/>
      <c r="AO16" s="5466"/>
      <c r="AP16" s="5466"/>
      <c r="AQ16" s="5466"/>
      <c r="AY16" s="1076">
        <v>0</v>
      </c>
    </row>
    <row r="17" spans="1:51" ht="14.25" hidden="1" customHeight="1">
      <c r="AQ17" s="265"/>
      <c r="AY17" s="1076">
        <v>0</v>
      </c>
    </row>
    <row r="18" spans="1:51" s="4274" customFormat="1" ht="22.5" hidden="1" customHeight="1">
      <c r="L18" s="1399"/>
      <c r="M18" s="1283"/>
      <c r="N18" s="1283"/>
      <c r="O18" s="1288" t="s">
        <v>508</v>
      </c>
      <c r="P18" s="1283"/>
      <c r="Q18" s="1292"/>
      <c r="R18" s="1292"/>
      <c r="S18" s="667"/>
      <c r="W18" s="1287"/>
      <c r="X18" s="1287"/>
      <c r="Y18" s="1287"/>
      <c r="Z18" s="1287"/>
      <c r="AA18" s="1287"/>
      <c r="AB18" s="1287"/>
      <c r="AC18" s="1288"/>
      <c r="AE18" s="1288"/>
      <c r="AF18" s="1287"/>
      <c r="AH18" s="1287"/>
      <c r="AI18" s="1287"/>
      <c r="AJ18" s="1287"/>
      <c r="AK18" s="1287"/>
      <c r="AL18" s="1287"/>
      <c r="AN18" s="1288"/>
      <c r="AP18" s="1288"/>
      <c r="AQ18" s="1287"/>
      <c r="AT18" s="449"/>
      <c r="AU18" s="449"/>
      <c r="AV18" s="449"/>
      <c r="AW18" s="449"/>
      <c r="AX18" s="449"/>
      <c r="AY18" s="1081">
        <v>0</v>
      </c>
    </row>
    <row r="19" spans="1:51" s="4274" customFormat="1" ht="14.25" hidden="1" customHeight="1">
      <c r="L19" s="1399"/>
      <c r="M19" s="1283"/>
      <c r="N19" s="1283"/>
      <c r="O19" s="1283"/>
      <c r="P19" s="1283"/>
      <c r="Q19" s="1292"/>
      <c r="R19" s="1292"/>
      <c r="S19" s="667"/>
      <c r="W19" s="1287"/>
      <c r="X19" s="1287"/>
      <c r="Y19" s="1287"/>
      <c r="Z19" s="1287"/>
      <c r="AA19" s="1287"/>
      <c r="AB19" s="1287"/>
      <c r="AF19" s="1287"/>
      <c r="AH19" s="1287"/>
      <c r="AI19" s="1287"/>
      <c r="AJ19" s="1287"/>
      <c r="AK19" s="1287"/>
      <c r="AL19" s="1287"/>
      <c r="AQ19" s="1287"/>
      <c r="AT19" s="449"/>
      <c r="AU19" s="449"/>
      <c r="AV19" s="449"/>
      <c r="AW19" s="449"/>
      <c r="AX19" s="449"/>
      <c r="AY19" s="1081">
        <v>0</v>
      </c>
    </row>
    <row r="20" spans="1:51" s="4274" customFormat="1" ht="12" hidden="1" customHeight="1">
      <c r="L20" s="1399"/>
      <c r="M20" s="1283"/>
      <c r="N20" s="1283"/>
      <c r="O20" s="1285" t="s">
        <v>509</v>
      </c>
      <c r="P20" s="1283"/>
      <c r="Q20" s="1363"/>
      <c r="R20" s="1363"/>
      <c r="S20" s="667"/>
      <c r="T20" s="1081" t="s">
        <v>510</v>
      </c>
      <c r="W20" s="1287"/>
      <c r="X20" s="1287"/>
      <c r="Y20" s="1287"/>
      <c r="Z20" s="1287"/>
      <c r="AA20" s="1287"/>
      <c r="AB20" s="1287"/>
      <c r="AD20" s="124" t="s">
        <v>511</v>
      </c>
      <c r="AF20" s="124" t="s">
        <v>512</v>
      </c>
      <c r="AG20" s="1081" t="s">
        <v>510</v>
      </c>
      <c r="AH20" s="1287"/>
      <c r="AI20" s="1287"/>
      <c r="AJ20" s="1287"/>
      <c r="AK20" s="1287"/>
      <c r="AL20" s="1287"/>
      <c r="AO20" s="124" t="s">
        <v>513</v>
      </c>
      <c r="AQ20" s="124" t="s">
        <v>512</v>
      </c>
      <c r="AY20" s="1081">
        <v>0</v>
      </c>
    </row>
    <row r="21" spans="1:51" ht="14.25" hidden="1" customHeight="1">
      <c r="O21" s="1285"/>
      <c r="AY21" s="1076">
        <v>0</v>
      </c>
    </row>
    <row r="22" spans="1:51" ht="14.25" hidden="1" customHeight="1">
      <c r="O22" s="1285"/>
      <c r="AY22" s="1076">
        <v>0</v>
      </c>
    </row>
    <row r="23" spans="1:51" ht="14.65" customHeight="1">
      <c r="Q23" s="314"/>
      <c r="R23" s="314"/>
      <c r="S23" s="1196"/>
      <c r="T23" s="301"/>
      <c r="U23" s="301"/>
      <c r="V23" s="447"/>
      <c r="W23" s="1556"/>
      <c r="X23" s="1556"/>
      <c r="Y23" s="1556"/>
      <c r="Z23" s="1556"/>
      <c r="AA23" s="1556"/>
      <c r="AB23" s="1556"/>
      <c r="AC23" s="447"/>
      <c r="AD23" s="447"/>
      <c r="AE23" s="447"/>
      <c r="AF23" s="447"/>
      <c r="AG23" s="447"/>
      <c r="AH23" s="1556"/>
      <c r="AI23" s="1556"/>
      <c r="AJ23" s="1556"/>
      <c r="AK23" s="1556"/>
      <c r="AL23" s="1556"/>
      <c r="AM23" s="447"/>
      <c r="AN23" s="447"/>
      <c r="AO23" s="447"/>
      <c r="AP23" s="447"/>
      <c r="AQ23" s="447"/>
      <c r="AY23" s="1076">
        <v>14</v>
      </c>
    </row>
    <row r="24" spans="1:51" ht="26.25" customHeight="1">
      <c r="Q24" s="314"/>
      <c r="R24" s="314"/>
      <c r="S24" s="54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5450"/>
      <c r="U24" s="5450"/>
      <c r="V24" s="5450"/>
      <c r="W24" s="5450"/>
      <c r="X24" s="5450"/>
      <c r="Y24" s="5450"/>
      <c r="Z24" s="5450"/>
      <c r="AA24" s="5450"/>
      <c r="AB24" s="5450"/>
      <c r="AC24" s="5450"/>
      <c r="AD24" s="5450"/>
      <c r="AE24" s="5450"/>
      <c r="AF24" s="5450"/>
      <c r="AG24" s="5450"/>
      <c r="AH24" s="5450"/>
      <c r="AI24" s="5450"/>
      <c r="AJ24" s="5450"/>
      <c r="AK24" s="5450"/>
      <c r="AL24" s="5450"/>
      <c r="AM24" s="5450"/>
      <c r="AN24" s="5450"/>
      <c r="AO24" s="5450"/>
      <c r="AP24" s="5450"/>
      <c r="AQ24" s="1164"/>
      <c r="AY24" s="1076">
        <v>25</v>
      </c>
    </row>
    <row r="25" spans="1:51" ht="14.65" customHeight="1">
      <c r="Q25" s="314"/>
      <c r="R25" s="314"/>
      <c r="S25" s="5423" t="str">
        <f>IF(org=0,"Не определено",org)</f>
        <v>КГУП "Примтеплоэнерго"</v>
      </c>
      <c r="T25" s="5423"/>
      <c r="U25" s="5423"/>
      <c r="V25" s="5423"/>
      <c r="W25" s="5423"/>
      <c r="X25" s="5423"/>
      <c r="Y25" s="5423"/>
      <c r="Z25" s="5423"/>
      <c r="AA25" s="5423"/>
      <c r="AB25" s="5423"/>
      <c r="AC25" s="5423"/>
      <c r="AD25" s="5423"/>
      <c r="AE25" s="5423"/>
      <c r="AF25" s="5423"/>
      <c r="AG25" s="5423"/>
      <c r="AH25" s="5423"/>
      <c r="AI25" s="5423"/>
      <c r="AJ25" s="5423"/>
      <c r="AK25" s="5423"/>
      <c r="AL25" s="5423"/>
      <c r="AM25" s="5423"/>
      <c r="AN25" s="5423"/>
      <c r="AO25" s="5423"/>
      <c r="AP25" s="5423"/>
      <c r="AQ25" s="1164"/>
      <c r="AY25" s="1076">
        <v>14</v>
      </c>
    </row>
    <row r="26" spans="1:51" ht="14.25" hidden="1" customHeight="1">
      <c r="Q26" s="314"/>
      <c r="R26" s="314"/>
      <c r="S26" s="1196"/>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76">
        <v>0</v>
      </c>
    </row>
    <row r="27" spans="1:51" s="4284" customFormat="1" ht="25.5" hidden="1" customHeight="1">
      <c r="A27" s="1289"/>
      <c r="B27" s="1289"/>
      <c r="C27" s="1289"/>
      <c r="D27" s="1289"/>
      <c r="E27" s="1289"/>
      <c r="F27" s="1289"/>
      <c r="G27" s="1289"/>
      <c r="H27" s="1289"/>
      <c r="I27" s="1289"/>
      <c r="J27" s="1289"/>
      <c r="K27" s="1289"/>
      <c r="L27" s="1290"/>
      <c r="M27" s="1289"/>
      <c r="N27" s="1289"/>
      <c r="O27" s="1289"/>
      <c r="S27" s="5460" t="s">
        <v>42</v>
      </c>
      <c r="T27" s="5460"/>
      <c r="U27" s="1293"/>
      <c r="V27" s="5462" t="str">
        <f>IF(TITLE_NAME_OR_PR_CHANGE="",IF(TITLE_NAME_OR_PR="","",TITLE_NAME_OR_PR),TITLE_NAME_OR_PR_CHANGE)</f>
        <v/>
      </c>
      <c r="W27" s="5462"/>
      <c r="X27" s="5462"/>
      <c r="Y27" s="5462"/>
      <c r="Z27" s="5462"/>
      <c r="AA27" s="5462"/>
      <c r="AB27" s="5462"/>
      <c r="AC27" s="5462"/>
      <c r="AD27" s="5462"/>
      <c r="AE27" s="5462"/>
      <c r="AF27" s="264"/>
      <c r="AG27" s="5462" t="str">
        <f>IF(TITLE_NAME_OR_PR_CHANGE="",IF(TITLE_NAME_OR_PR="","",TITLE_NAME_OR_PR),TITLE_NAME_OR_PR_CHANGE)</f>
        <v/>
      </c>
      <c r="AH27" s="5462"/>
      <c r="AI27" s="5462"/>
      <c r="AJ27" s="5462"/>
      <c r="AK27" s="5462"/>
      <c r="AL27" s="5462"/>
      <c r="AM27" s="5462"/>
      <c r="AN27" s="5462"/>
      <c r="AO27" s="5462"/>
      <c r="AP27" s="5462"/>
      <c r="AQ27" s="264"/>
      <c r="AR27" s="264"/>
      <c r="AS27" s="218"/>
      <c r="AT27" s="306"/>
      <c r="AU27" s="306"/>
      <c r="AV27" s="306"/>
      <c r="AW27" s="306"/>
      <c r="AX27" s="306"/>
      <c r="AY27" s="356">
        <v>0</v>
      </c>
    </row>
    <row r="28" spans="1:51" s="4284" customFormat="1" ht="18.75" hidden="1" customHeight="1">
      <c r="A28" s="1289"/>
      <c r="B28" s="1289"/>
      <c r="C28" s="1289"/>
      <c r="D28" s="1289"/>
      <c r="E28" s="1289"/>
      <c r="F28" s="1289"/>
      <c r="G28" s="1289"/>
      <c r="H28" s="1289"/>
      <c r="I28" s="1289"/>
      <c r="J28" s="1289"/>
      <c r="K28" s="1289"/>
      <c r="L28" s="1290"/>
      <c r="M28" s="1289"/>
      <c r="N28" s="1289"/>
      <c r="O28" s="1289"/>
      <c r="S28" s="5460" t="s">
        <v>514</v>
      </c>
      <c r="T28" s="5460"/>
      <c r="U28" s="1293"/>
      <c r="V28" s="5461">
        <f>IF(TITLE_DATE_PR_CHANGE="",IF(TITLE_DATE_PR="","",TITLE_DATE_PR),TITLE_DATE_PR_CHANGE)</f>
        <v>45649.605891203704</v>
      </c>
      <c r="W28" s="5461"/>
      <c r="X28" s="5461"/>
      <c r="Y28" s="5461"/>
      <c r="Z28" s="5461"/>
      <c r="AA28" s="5461"/>
      <c r="AB28" s="5461"/>
      <c r="AC28" s="5461"/>
      <c r="AD28" s="5461"/>
      <c r="AE28" s="5461"/>
      <c r="AF28" s="264"/>
      <c r="AG28" s="5461">
        <f>IF(TITLE_DATE_PR_CHANGE="",IF(TITLE_DATE_PR="","",TITLE_DATE_PR),TITLE_DATE_PR_CHANGE)</f>
        <v>45649.605891203704</v>
      </c>
      <c r="AH28" s="5461"/>
      <c r="AI28" s="5461"/>
      <c r="AJ28" s="5461"/>
      <c r="AK28" s="5461"/>
      <c r="AL28" s="5461"/>
      <c r="AM28" s="5461"/>
      <c r="AN28" s="5461"/>
      <c r="AO28" s="5461"/>
      <c r="AP28" s="5461"/>
      <c r="AQ28" s="264"/>
      <c r="AR28" s="264"/>
      <c r="AS28" s="218"/>
      <c r="AT28" s="306"/>
      <c r="AU28" s="306"/>
      <c r="AV28" s="306"/>
      <c r="AW28" s="306"/>
      <c r="AX28" s="306"/>
      <c r="AY28" s="356">
        <v>0</v>
      </c>
    </row>
    <row r="29" spans="1:51" s="4284" customFormat="1" ht="18.75" hidden="1" customHeight="1">
      <c r="A29" s="1289"/>
      <c r="B29" s="1289"/>
      <c r="C29" s="1289"/>
      <c r="D29" s="1289"/>
      <c r="E29" s="1289"/>
      <c r="F29" s="1289"/>
      <c r="G29" s="1289"/>
      <c r="H29" s="1289"/>
      <c r="I29" s="1289"/>
      <c r="J29" s="1289"/>
      <c r="K29" s="1289"/>
      <c r="L29" s="1290"/>
      <c r="M29" s="1289"/>
      <c r="N29" s="1289"/>
      <c r="O29" s="1289"/>
      <c r="S29" s="5460" t="s">
        <v>515</v>
      </c>
      <c r="T29" s="5460"/>
      <c r="U29" s="1293"/>
      <c r="V29" s="5462" t="str">
        <f>IF(TITLE_NUMBER_PR_CHANGE="",IF(TITLE_NUMBER_PR="","",TITLE_NUMBER_PR),TITLE_NUMBER_PR_CHANGE)</f>
        <v>27-6414</v>
      </c>
      <c r="W29" s="5462"/>
      <c r="X29" s="5462"/>
      <c r="Y29" s="5462"/>
      <c r="Z29" s="5462"/>
      <c r="AA29" s="5462"/>
      <c r="AB29" s="5462"/>
      <c r="AC29" s="5462"/>
      <c r="AD29" s="5462"/>
      <c r="AE29" s="5462"/>
      <c r="AF29" s="264"/>
      <c r="AG29" s="5462" t="str">
        <f>IF(TITLE_NUMBER_PR_CHANGE="",IF(TITLE_NUMBER_PR="","",TITLE_NUMBER_PR),TITLE_NUMBER_PR_CHANGE)</f>
        <v>27-6414</v>
      </c>
      <c r="AH29" s="5462"/>
      <c r="AI29" s="5462"/>
      <c r="AJ29" s="5462"/>
      <c r="AK29" s="5462"/>
      <c r="AL29" s="5462"/>
      <c r="AM29" s="5462"/>
      <c r="AN29" s="5462"/>
      <c r="AO29" s="5462"/>
      <c r="AP29" s="5462"/>
      <c r="AQ29" s="264"/>
      <c r="AR29" s="264"/>
      <c r="AS29" s="218"/>
      <c r="AT29" s="306"/>
      <c r="AU29" s="306"/>
      <c r="AV29" s="306"/>
      <c r="AW29" s="306"/>
      <c r="AX29" s="306"/>
      <c r="AY29" s="356">
        <v>0</v>
      </c>
    </row>
    <row r="30" spans="1:51" s="4284" customFormat="1" ht="18.75" hidden="1" customHeight="1">
      <c r="A30" s="1289"/>
      <c r="B30" s="1289"/>
      <c r="C30" s="1289"/>
      <c r="D30" s="1289"/>
      <c r="E30" s="1289"/>
      <c r="F30" s="1289"/>
      <c r="G30" s="1289"/>
      <c r="H30" s="1289"/>
      <c r="I30" s="1289"/>
      <c r="J30" s="1289"/>
      <c r="K30" s="1289"/>
      <c r="L30" s="1290"/>
      <c r="M30" s="1289"/>
      <c r="N30" s="1289"/>
      <c r="O30" s="1289"/>
      <c r="S30" s="5460" t="s">
        <v>43</v>
      </c>
      <c r="T30" s="5460"/>
      <c r="U30" s="1293"/>
      <c r="V30" s="5462" t="str">
        <f>IF(TITLE_IST_PUB_CHANGE="",IF(TITLE_IST_PUB="","",TITLE_IST_PUB),TITLE_IST_PUB_CHANGE)</f>
        <v/>
      </c>
      <c r="W30" s="5462"/>
      <c r="X30" s="5462"/>
      <c r="Y30" s="5462"/>
      <c r="Z30" s="5462"/>
      <c r="AA30" s="5462"/>
      <c r="AB30" s="5462"/>
      <c r="AC30" s="5462"/>
      <c r="AD30" s="5462"/>
      <c r="AE30" s="5462"/>
      <c r="AF30" s="264"/>
      <c r="AG30" s="5462" t="str">
        <f>IF(TITLE_IST_PUB_CHANGE="",IF(TITLE_IST_PUB="","",TITLE_IST_PUB),TITLE_IST_PUB_CHANGE)</f>
        <v/>
      </c>
      <c r="AH30" s="5462"/>
      <c r="AI30" s="5462"/>
      <c r="AJ30" s="5462"/>
      <c r="AK30" s="5462"/>
      <c r="AL30" s="5462"/>
      <c r="AM30" s="5462"/>
      <c r="AN30" s="5462"/>
      <c r="AO30" s="5462"/>
      <c r="AP30" s="5462"/>
      <c r="AQ30" s="264"/>
      <c r="AR30" s="264"/>
      <c r="AS30" s="218"/>
      <c r="AT30" s="306"/>
      <c r="AU30" s="306"/>
      <c r="AV30" s="306"/>
      <c r="AW30" s="306"/>
      <c r="AX30" s="306"/>
      <c r="AY30" s="356">
        <v>0</v>
      </c>
    </row>
    <row r="31" spans="1:51" ht="14.25" customHeight="1">
      <c r="Q31" s="314"/>
      <c r="R31" s="314"/>
      <c r="S31" s="1196"/>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76">
        <v>0</v>
      </c>
    </row>
    <row r="32" spans="1:51" s="4284" customFormat="1" ht="18.75" customHeight="1">
      <c r="A32" s="1289"/>
      <c r="B32" s="1289"/>
      <c r="C32" s="1289"/>
      <c r="D32" s="1289"/>
      <c r="E32" s="1289"/>
      <c r="F32" s="1289"/>
      <c r="G32" s="1289"/>
      <c r="H32" s="1289"/>
      <c r="I32" s="1289"/>
      <c r="J32" s="1289"/>
      <c r="K32" s="1289"/>
      <c r="L32" s="1290"/>
      <c r="M32" s="1289"/>
      <c r="N32" s="1289"/>
      <c r="O32" s="1289"/>
      <c r="S32" s="5460" t="s">
        <v>516</v>
      </c>
      <c r="T32" s="5460"/>
      <c r="U32" s="1293"/>
      <c r="V32" s="5461">
        <f>IF(TITLE_DATE_PR_CHANGE="",IF(TITLE_DATE_PR="","",TITLE_DATE_PR),TITLE_DATE_PR_CHANGE)</f>
        <v>45649.605891203704</v>
      </c>
      <c r="W32" s="5461"/>
      <c r="X32" s="5461"/>
      <c r="Y32" s="5461"/>
      <c r="Z32" s="5461"/>
      <c r="AA32" s="5461"/>
      <c r="AB32" s="5461"/>
      <c r="AC32" s="5461"/>
      <c r="AD32" s="5461"/>
      <c r="AE32" s="5461"/>
      <c r="AF32" s="264"/>
      <c r="AG32" s="5461">
        <f>IF(TITLE_DATE_PR_CHANGE="",IF(TITLE_DATE_PR="","",TITLE_DATE_PR),TITLE_DATE_PR_CHANGE)</f>
        <v>45649.605891203704</v>
      </c>
      <c r="AH32" s="5461"/>
      <c r="AI32" s="5461"/>
      <c r="AJ32" s="5461"/>
      <c r="AK32" s="5461"/>
      <c r="AL32" s="5461"/>
      <c r="AM32" s="5461"/>
      <c r="AN32" s="5461"/>
      <c r="AO32" s="5461"/>
      <c r="AP32" s="5461"/>
      <c r="AQ32" s="264"/>
      <c r="AR32" s="264"/>
      <c r="AS32" s="218"/>
      <c r="AT32" s="306"/>
      <c r="AU32" s="306"/>
      <c r="AV32" s="306"/>
      <c r="AW32" s="306"/>
      <c r="AX32" s="306"/>
      <c r="AY32" s="356">
        <v>0</v>
      </c>
    </row>
    <row r="33" spans="1:51" s="4284" customFormat="1" ht="18.75" customHeight="1">
      <c r="A33" s="1289"/>
      <c r="B33" s="1289"/>
      <c r="C33" s="1289"/>
      <c r="D33" s="1289"/>
      <c r="E33" s="1289"/>
      <c r="F33" s="1289"/>
      <c r="G33" s="1289"/>
      <c r="H33" s="1289"/>
      <c r="I33" s="1289"/>
      <c r="J33" s="1289"/>
      <c r="K33" s="1289"/>
      <c r="L33" s="1290"/>
      <c r="M33" s="1289"/>
      <c r="N33" s="1289"/>
      <c r="O33" s="1289"/>
      <c r="S33" s="5460" t="s">
        <v>517</v>
      </c>
      <c r="T33" s="5460"/>
      <c r="U33" s="1293"/>
      <c r="V33" s="5462" t="str">
        <f>IF(TITLE_NUMBER_PR_CHANGE="",IF(TITLE_NUMBER_PR="","",TITLE_NUMBER_PR),TITLE_NUMBER_PR_CHANGE)</f>
        <v>27-6414</v>
      </c>
      <c r="W33" s="5462"/>
      <c r="X33" s="5462"/>
      <c r="Y33" s="5462"/>
      <c r="Z33" s="5462"/>
      <c r="AA33" s="5462"/>
      <c r="AB33" s="5462"/>
      <c r="AC33" s="5462"/>
      <c r="AD33" s="5462"/>
      <c r="AE33" s="5462"/>
      <c r="AF33" s="264"/>
      <c r="AG33" s="5462" t="str">
        <f>IF(TITLE_NUMBER_PR_CHANGE="",IF(TITLE_NUMBER_PR="","",TITLE_NUMBER_PR),TITLE_NUMBER_PR_CHANGE)</f>
        <v>27-6414</v>
      </c>
      <c r="AH33" s="5462"/>
      <c r="AI33" s="5462"/>
      <c r="AJ33" s="5462"/>
      <c r="AK33" s="5462"/>
      <c r="AL33" s="5462"/>
      <c r="AM33" s="5462"/>
      <c r="AN33" s="5462"/>
      <c r="AO33" s="5462"/>
      <c r="AP33" s="5462"/>
      <c r="AQ33" s="264"/>
      <c r="AR33" s="264"/>
      <c r="AS33" s="218"/>
      <c r="AT33" s="306"/>
      <c r="AU33" s="306"/>
      <c r="AV33" s="306"/>
      <c r="AW33" s="306"/>
      <c r="AX33" s="306"/>
      <c r="AY33" s="356">
        <v>0</v>
      </c>
    </row>
    <row r="34" spans="1:51" s="4284" customFormat="1" ht="1.1499999999999999" customHeight="1">
      <c r="A34" s="1289"/>
      <c r="B34" s="1289"/>
      <c r="C34" s="1289"/>
      <c r="D34" s="1289"/>
      <c r="E34" s="1289"/>
      <c r="F34" s="1289"/>
      <c r="G34" s="1289"/>
      <c r="H34" s="1289"/>
      <c r="I34" s="1289"/>
      <c r="J34" s="1289"/>
      <c r="K34" s="1289"/>
      <c r="L34" s="1290"/>
      <c r="M34" s="1289"/>
      <c r="N34" s="1289"/>
      <c r="O34" s="1289"/>
      <c r="S34" s="261"/>
      <c r="T34" s="261"/>
      <c r="U34" s="1409"/>
      <c r="V34" s="264"/>
      <c r="W34" s="1556"/>
      <c r="X34" s="1556"/>
      <c r="Y34" s="1556"/>
      <c r="Z34" s="1556"/>
      <c r="AA34" s="1556"/>
      <c r="AB34" s="1556"/>
      <c r="AC34" s="264"/>
      <c r="AD34" s="264"/>
      <c r="AE34" s="264"/>
      <c r="AF34" s="216" t="s">
        <v>518</v>
      </c>
      <c r="AG34" s="264"/>
      <c r="AH34" s="1556"/>
      <c r="AI34" s="1556"/>
      <c r="AJ34" s="1556"/>
      <c r="AK34" s="1556"/>
      <c r="AL34" s="1556"/>
      <c r="AM34" s="264"/>
      <c r="AN34" s="264"/>
      <c r="AO34" s="264"/>
      <c r="AP34" s="264"/>
      <c r="AQ34" s="216" t="s">
        <v>518</v>
      </c>
      <c r="AT34" s="306"/>
      <c r="AU34" s="306"/>
      <c r="AV34" s="306"/>
      <c r="AW34" s="306"/>
      <c r="AX34" s="306"/>
      <c r="AY34" s="356">
        <v>1</v>
      </c>
    </row>
    <row r="35" spans="1:51" ht="14.65" customHeight="1">
      <c r="Q35" s="314"/>
      <c r="R35" s="314"/>
      <c r="S35" s="1196"/>
      <c r="T35" s="301"/>
      <c r="U35" s="1165"/>
      <c r="V35" s="5481"/>
      <c r="W35" s="5481"/>
      <c r="X35" s="5481"/>
      <c r="Y35" s="5481"/>
      <c r="Z35" s="5481"/>
      <c r="AA35" s="5481"/>
      <c r="AB35" s="5481"/>
      <c r="AC35" s="5481"/>
      <c r="AD35" s="5481"/>
      <c r="AE35" s="5481"/>
      <c r="AF35" s="5481"/>
      <c r="AG35" s="5481"/>
      <c r="AH35" s="5481"/>
      <c r="AI35" s="5481"/>
      <c r="AJ35" s="5481"/>
      <c r="AK35" s="5481"/>
      <c r="AL35" s="5481"/>
      <c r="AM35" s="5481"/>
      <c r="AN35" s="5481"/>
      <c r="AO35" s="5481"/>
      <c r="AP35" s="5481"/>
      <c r="AQ35" s="5481"/>
      <c r="AY35" s="1076">
        <v>14</v>
      </c>
    </row>
    <row r="36" spans="1:51" ht="14.65" customHeight="1">
      <c r="Q36" s="314"/>
      <c r="R36" s="314"/>
      <c r="S36" s="5328" t="s">
        <v>393</v>
      </c>
      <c r="T36" s="5328"/>
      <c r="U36" s="5328"/>
      <c r="V36" s="5328"/>
      <c r="W36" s="5328"/>
      <c r="X36" s="5328"/>
      <c r="Y36" s="5328"/>
      <c r="Z36" s="5328"/>
      <c r="AA36" s="5328"/>
      <c r="AB36" s="5328"/>
      <c r="AC36" s="5328"/>
      <c r="AD36" s="5328"/>
      <c r="AE36" s="5328"/>
      <c r="AF36" s="5328"/>
      <c r="AG36" s="5328"/>
      <c r="AH36" s="5328"/>
      <c r="AI36" s="5328"/>
      <c r="AJ36" s="5328"/>
      <c r="AK36" s="5328"/>
      <c r="AL36" s="5328"/>
      <c r="AM36" s="5328"/>
      <c r="AN36" s="5328"/>
      <c r="AO36" s="5328"/>
      <c r="AP36" s="5328"/>
      <c r="AQ36" s="5328"/>
      <c r="AR36" s="5328"/>
      <c r="AS36" s="5328" t="s">
        <v>394</v>
      </c>
      <c r="AY36" s="1076">
        <v>14</v>
      </c>
    </row>
    <row r="37" spans="1:51" ht="14.65" customHeight="1">
      <c r="Q37" s="314"/>
      <c r="R37" s="314"/>
      <c r="S37" s="5482" t="s">
        <v>88</v>
      </c>
      <c r="T37" s="5431" t="s">
        <v>519</v>
      </c>
      <c r="U37" s="239"/>
      <c r="V37" s="5483" t="s">
        <v>520</v>
      </c>
      <c r="W37" s="5499"/>
      <c r="X37" s="5499"/>
      <c r="Y37" s="5499"/>
      <c r="Z37" s="5499"/>
      <c r="AA37" s="5499"/>
      <c r="AB37" s="5499"/>
      <c r="AC37" s="5484"/>
      <c r="AD37" s="5484"/>
      <c r="AE37" s="5485"/>
      <c r="AF37" s="5486" t="s">
        <v>521</v>
      </c>
      <c r="AG37" s="5483" t="s">
        <v>520</v>
      </c>
      <c r="AH37" s="5484"/>
      <c r="AI37" s="5484"/>
      <c r="AJ37" s="5484"/>
      <c r="AK37" s="5484"/>
      <c r="AL37" s="5484"/>
      <c r="AM37" s="5484"/>
      <c r="AN37" s="5484"/>
      <c r="AO37" s="5484"/>
      <c r="AP37" s="5485"/>
      <c r="AQ37" s="5486" t="s">
        <v>522</v>
      </c>
      <c r="AR37" s="5489" t="s">
        <v>523</v>
      </c>
      <c r="AS37" s="5328"/>
      <c r="AY37" s="1076">
        <v>14</v>
      </c>
    </row>
    <row r="38" spans="1:51" ht="19.899999999999999" customHeight="1">
      <c r="Q38" s="314"/>
      <c r="R38" s="314"/>
      <c r="S38" s="5482"/>
      <c r="T38" s="5431"/>
      <c r="U38" s="956"/>
      <c r="V38" s="5328" t="s">
        <v>624</v>
      </c>
      <c r="W38" s="5556" t="s">
        <v>625</v>
      </c>
      <c r="X38" s="5556"/>
      <c r="Y38" s="5556"/>
      <c r="Z38" s="5556" t="s">
        <v>626</v>
      </c>
      <c r="AA38" s="5556"/>
      <c r="AB38" s="5556"/>
      <c r="AC38" s="5404" t="s">
        <v>527</v>
      </c>
      <c r="AD38" s="5511"/>
      <c r="AE38" s="5405"/>
      <c r="AF38" s="5487"/>
      <c r="AG38" s="5328" t="s">
        <v>624</v>
      </c>
      <c r="AH38" s="5556" t="s">
        <v>625</v>
      </c>
      <c r="AI38" s="5556"/>
      <c r="AJ38" s="5556"/>
      <c r="AK38" s="5556" t="s">
        <v>626</v>
      </c>
      <c r="AL38" s="5556"/>
      <c r="AM38" s="5556"/>
      <c r="AN38" s="5404" t="s">
        <v>527</v>
      </c>
      <c r="AO38" s="5511"/>
      <c r="AP38" s="5405"/>
      <c r="AQ38" s="5487"/>
      <c r="AR38" s="5490"/>
      <c r="AS38" s="5328"/>
      <c r="AY38" s="1076">
        <v>19</v>
      </c>
    </row>
    <row r="39" spans="1:51" s="4267" customFormat="1" ht="19.899999999999999" customHeight="1">
      <c r="A39" s="1287"/>
      <c r="B39" s="1287"/>
      <c r="C39" s="1287"/>
      <c r="D39" s="1287"/>
      <c r="E39" s="1287"/>
      <c r="F39" s="1287"/>
      <c r="G39" s="1287"/>
      <c r="H39" s="1287"/>
      <c r="I39" s="1287"/>
      <c r="J39" s="1287"/>
      <c r="K39" s="1287"/>
      <c r="L39" s="1866"/>
      <c r="M39" s="1283"/>
      <c r="N39" s="1283"/>
      <c r="O39" s="1283"/>
      <c r="P39" s="1880"/>
      <c r="Q39" s="314"/>
      <c r="R39" s="314"/>
      <c r="S39" s="5482"/>
      <c r="T39" s="5431"/>
      <c r="U39" s="956"/>
      <c r="V39" s="5328"/>
      <c r="W39" s="5556" t="s">
        <v>627</v>
      </c>
      <c r="X39" s="5556" t="s">
        <v>628</v>
      </c>
      <c r="Y39" s="5556"/>
      <c r="Z39" s="5556" t="s">
        <v>629</v>
      </c>
      <c r="AA39" s="5556" t="s">
        <v>628</v>
      </c>
      <c r="AB39" s="5556"/>
      <c r="AC39" s="5409"/>
      <c r="AD39" s="5512"/>
      <c r="AE39" s="5410"/>
      <c r="AF39" s="5487"/>
      <c r="AG39" s="5328"/>
      <c r="AH39" s="5556" t="s">
        <v>627</v>
      </c>
      <c r="AI39" s="5556" t="s">
        <v>628</v>
      </c>
      <c r="AJ39" s="5556"/>
      <c r="AK39" s="5556" t="s">
        <v>629</v>
      </c>
      <c r="AL39" s="5556" t="s">
        <v>628</v>
      </c>
      <c r="AM39" s="5556"/>
      <c r="AN39" s="5409"/>
      <c r="AO39" s="5512"/>
      <c r="AP39" s="5410"/>
      <c r="AQ39" s="5487"/>
      <c r="AR39" s="5490"/>
      <c r="AS39" s="5328"/>
      <c r="AT39" s="1557"/>
      <c r="AU39" s="1557"/>
      <c r="AV39" s="1557"/>
      <c r="AW39" s="1557"/>
      <c r="AX39" s="1557"/>
      <c r="AY39" s="1552">
        <v>19</v>
      </c>
    </row>
    <row r="40" spans="1:51" ht="61.9" customHeight="1">
      <c r="A40" s="1291"/>
      <c r="B40" s="1291" t="s">
        <v>167</v>
      </c>
      <c r="C40" s="1291" t="s">
        <v>168</v>
      </c>
      <c r="D40" s="1291" t="s">
        <v>169</v>
      </c>
      <c r="E40" s="1285" t="s">
        <v>528</v>
      </c>
      <c r="F40" s="1285" t="s">
        <v>529</v>
      </c>
      <c r="G40" s="1285" t="s">
        <v>530</v>
      </c>
      <c r="H40" s="1285"/>
      <c r="I40" s="1285" t="s">
        <v>580</v>
      </c>
      <c r="J40" s="1285" t="s">
        <v>533</v>
      </c>
      <c r="K40" s="1285" t="s">
        <v>581</v>
      </c>
      <c r="L40" s="1285" t="s">
        <v>509</v>
      </c>
      <c r="Q40" s="314"/>
      <c r="R40" s="314"/>
      <c r="S40" s="5482"/>
      <c r="T40" s="5431"/>
      <c r="U40" s="240"/>
      <c r="V40" s="5328"/>
      <c r="W40" s="5556"/>
      <c r="X40" s="1898" t="s">
        <v>630</v>
      </c>
      <c r="Y40" s="1898" t="s">
        <v>631</v>
      </c>
      <c r="Z40" s="5556"/>
      <c r="AA40" s="1898" t="s">
        <v>632</v>
      </c>
      <c r="AB40" s="1898" t="s">
        <v>633</v>
      </c>
      <c r="AC40" s="1410" t="s">
        <v>537</v>
      </c>
      <c r="AD40" s="5436" t="s">
        <v>538</v>
      </c>
      <c r="AE40" s="5449"/>
      <c r="AF40" s="5488"/>
      <c r="AG40" s="5328"/>
      <c r="AH40" s="5556"/>
      <c r="AI40" s="1898" t="s">
        <v>630</v>
      </c>
      <c r="AJ40" s="1898" t="s">
        <v>631</v>
      </c>
      <c r="AK40" s="5556"/>
      <c r="AL40" s="1898" t="s">
        <v>632</v>
      </c>
      <c r="AM40" s="1898" t="s">
        <v>633</v>
      </c>
      <c r="AN40" s="1410" t="s">
        <v>537</v>
      </c>
      <c r="AO40" s="5436" t="s">
        <v>538</v>
      </c>
      <c r="AP40" s="5449"/>
      <c r="AQ40" s="5488"/>
      <c r="AR40" s="5491"/>
      <c r="AS40" s="5328"/>
      <c r="AY40" s="1076">
        <v>59</v>
      </c>
    </row>
    <row r="41" spans="1:51" s="4299" customFormat="1" ht="11.25" hidden="1" customHeight="1">
      <c r="A41" s="1291"/>
      <c r="B41" s="1291"/>
      <c r="C41" s="1291"/>
      <c r="D41" s="1291"/>
      <c r="E41" s="1291"/>
      <c r="F41" s="1291"/>
      <c r="G41" s="1291"/>
      <c r="H41" s="1291"/>
      <c r="I41" s="1291"/>
      <c r="J41" s="1291"/>
      <c r="K41" s="1291"/>
      <c r="L41" s="1285"/>
      <c r="M41" s="1283"/>
      <c r="N41" s="1283"/>
      <c r="O41" s="1283"/>
      <c r="P41" s="1167"/>
      <c r="Q41" s="1168"/>
      <c r="R41" s="1175">
        <v>1</v>
      </c>
      <c r="S41" s="1198" t="s">
        <v>136</v>
      </c>
      <c r="T41" s="1176" t="s">
        <v>103</v>
      </c>
      <c r="U41" s="1166" t="str">
        <f ca="1">OFFSET(U41,0,-1)</f>
        <v>2</v>
      </c>
      <c r="V41" s="1403">
        <f ca="1">OFFSET(V41,0,-1)+1</f>
        <v>3</v>
      </c>
      <c r="W41" s="1262"/>
      <c r="X41" s="1262"/>
      <c r="Y41" s="1262"/>
      <c r="Z41" s="1262"/>
      <c r="AA41" s="1262"/>
      <c r="AB41" s="1262"/>
      <c r="AC41" s="1403">
        <f ca="1">OFFSET(AC41,0,-1)+1</f>
        <v>1</v>
      </c>
      <c r="AD41" s="5480">
        <f ca="1">OFFSET(AD41,0,-1)+1</f>
        <v>2</v>
      </c>
      <c r="AE41" s="5480"/>
      <c r="AF41" s="1403">
        <f ca="1">OFFSET(AF41,0,-2)+1</f>
        <v>3</v>
      </c>
      <c r="AG41" s="1403">
        <f ca="1">OFFSET(AG41,0,-1)+1</f>
        <v>4</v>
      </c>
      <c r="AH41" s="1871"/>
      <c r="AI41" s="1871"/>
      <c r="AJ41" s="1871"/>
      <c r="AK41" s="1871"/>
      <c r="AL41" s="1871"/>
      <c r="AM41" s="1403">
        <f ca="1">OFFSET(AM41,0,-1)+1</f>
        <v>1</v>
      </c>
      <c r="AN41" s="1403">
        <f ca="1">OFFSET(AN41,0,-1)+1</f>
        <v>2</v>
      </c>
      <c r="AO41" s="5480">
        <f ca="1">OFFSET(AO41,0,-1)+1</f>
        <v>3</v>
      </c>
      <c r="AP41" s="5480"/>
      <c r="AQ41" s="1403">
        <f ca="1">OFFSET(AQ41,0,-2)+1</f>
        <v>4</v>
      </c>
      <c r="AR41" s="1166">
        <f ca="1">OFFSET(AR41,0,-1)</f>
        <v>4</v>
      </c>
      <c r="AS41" s="1403">
        <f ca="1">OFFSET(AS41,0,-1)+1</f>
        <v>5</v>
      </c>
      <c r="AT41" s="449"/>
      <c r="AU41" s="449"/>
      <c r="AV41" s="449"/>
      <c r="AW41" s="449"/>
      <c r="AX41" s="449"/>
      <c r="AY41" s="434">
        <v>0</v>
      </c>
    </row>
    <row r="42" spans="1:51" ht="24" customHeight="1">
      <c r="A42" s="1284" t="s">
        <v>280</v>
      </c>
      <c r="B42" s="1284"/>
      <c r="C42" s="1284"/>
      <c r="D42" s="1284"/>
      <c r="E42" s="5469">
        <v>1</v>
      </c>
      <c r="F42" s="1284"/>
      <c r="G42" s="1284"/>
      <c r="H42" s="1284"/>
      <c r="I42" s="1284"/>
      <c r="J42" s="1284"/>
      <c r="K42" s="1284"/>
      <c r="L42" s="1285"/>
      <c r="M42" s="1286"/>
      <c r="N42" s="1286"/>
      <c r="O42" s="1286"/>
      <c r="P42" s="299"/>
      <c r="Q42" s="298"/>
      <c r="R42" s="293"/>
      <c r="S42" s="1414">
        <f>INDEX(PT_DIFFERENTIATION_NUM_NTAR,MATCH(A42,PT_DIFFERENTIATION_NTAR_ID,0))</f>
        <v>0</v>
      </c>
      <c r="T42" s="236" t="s">
        <v>155</v>
      </c>
      <c r="U42" s="238"/>
      <c r="V42" s="5463"/>
      <c r="W42" s="5464"/>
      <c r="X42" s="5464"/>
      <c r="Y42" s="5464"/>
      <c r="Z42" s="5464"/>
      <c r="AA42" s="5464"/>
      <c r="AB42" s="5464"/>
      <c r="AC42" s="5464"/>
      <c r="AD42" s="5464"/>
      <c r="AE42" s="5464"/>
      <c r="AF42" s="5465"/>
      <c r="AG42" s="5463" t="str">
        <f>INDEX(PT_DIFFERENTIATION_NTAR,MATCH(A42,PT_DIFFERENTIATION_NTAR_ID,0))</f>
        <v/>
      </c>
      <c r="AH42" s="5464"/>
      <c r="AI42" s="5464"/>
      <c r="AJ42" s="5464"/>
      <c r="AK42" s="5464"/>
      <c r="AL42" s="5464"/>
      <c r="AM42" s="5464"/>
      <c r="AN42" s="5464"/>
      <c r="AO42" s="5464"/>
      <c r="AP42" s="5464"/>
      <c r="AQ42" s="5464"/>
      <c r="AR42" s="5465"/>
      <c r="AS4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76">
        <v>23</v>
      </c>
    </row>
    <row r="43" spans="1:51" ht="24" customHeight="1">
      <c r="A43" s="1284" t="s">
        <v>280</v>
      </c>
      <c r="B43" s="1284" t="s">
        <v>281</v>
      </c>
      <c r="C43" s="1284"/>
      <c r="D43" s="1284"/>
      <c r="E43" s="5470"/>
      <c r="F43" s="5469">
        <v>1</v>
      </c>
      <c r="G43" s="1284"/>
      <c r="H43" s="1284"/>
      <c r="I43" s="1284"/>
      <c r="J43" s="1284"/>
      <c r="K43" s="1284"/>
      <c r="L43" s="1285"/>
      <c r="M43" s="1286"/>
      <c r="N43" s="1286"/>
      <c r="O43" s="1286"/>
      <c r="P43" s="1408"/>
      <c r="Q43" s="290"/>
      <c r="R43" s="291"/>
      <c r="S43" s="1414" t="str">
        <f>INDEX(PT_DIFFERENTIATION_NUM_TER,MATCH(B43,PT_DIFFERENTIATION_TER_ID,0))</f>
        <v>.</v>
      </c>
      <c r="T43" s="246" t="s">
        <v>490</v>
      </c>
      <c r="U43" s="238"/>
      <c r="V43" s="5463"/>
      <c r="W43" s="5464"/>
      <c r="X43" s="5464"/>
      <c r="Y43" s="5464"/>
      <c r="Z43" s="5464"/>
      <c r="AA43" s="5464"/>
      <c r="AB43" s="5464"/>
      <c r="AC43" s="5464"/>
      <c r="AD43" s="5464"/>
      <c r="AE43" s="5464"/>
      <c r="AF43" s="5465"/>
      <c r="AG43" s="5463" t="str">
        <f>INDEX(PT_DIFFERENTIATION_TER,MATCH(B43,PT_DIFFERENTIATION_TER_ID,0))</f>
        <v/>
      </c>
      <c r="AH43" s="5464"/>
      <c r="AI43" s="5464"/>
      <c r="AJ43" s="5464"/>
      <c r="AK43" s="5464"/>
      <c r="AL43" s="5464"/>
      <c r="AM43" s="5464"/>
      <c r="AN43" s="5464"/>
      <c r="AO43" s="5464"/>
      <c r="AP43" s="5464"/>
      <c r="AQ43" s="5464"/>
      <c r="AR43" s="5465"/>
      <c r="AS43" s="1179" t="s">
        <v>491</v>
      </c>
      <c r="AU43" s="438"/>
      <c r="AV43" s="438" t="str">
        <f t="shared" si="1"/>
        <v>Территория действия тарифа</v>
      </c>
      <c r="AW43" s="438"/>
      <c r="AX43" s="438"/>
      <c r="AY43" s="1076">
        <v>23</v>
      </c>
    </row>
    <row r="44" spans="1:51" ht="24" customHeight="1">
      <c r="A44" s="1284" t="s">
        <v>280</v>
      </c>
      <c r="B44" s="1284" t="s">
        <v>281</v>
      </c>
      <c r="C44" s="1284" t="s">
        <v>282</v>
      </c>
      <c r="D44" s="1284"/>
      <c r="E44" s="5470"/>
      <c r="F44" s="5470"/>
      <c r="G44" s="5469">
        <v>1</v>
      </c>
      <c r="H44" s="1284"/>
      <c r="I44" s="1284"/>
      <c r="J44" s="1284"/>
      <c r="K44" s="1284"/>
      <c r="L44" s="1285"/>
      <c r="M44" s="1286"/>
      <c r="N44" s="1286"/>
      <c r="O44" s="1286"/>
      <c r="P44" s="292"/>
      <c r="Q44" s="290"/>
      <c r="R44" s="291"/>
      <c r="S44" s="1414" t="str">
        <f>INDEX(PT_DIFFERENTIATION_NUM_CS,MATCH(C44,PT_DIFFERENTIATION_CS_ID,0))</f>
        <v>..</v>
      </c>
      <c r="T44" s="247" t="s">
        <v>622</v>
      </c>
      <c r="U44" s="238"/>
      <c r="V44" s="5463"/>
      <c r="W44" s="5464"/>
      <c r="X44" s="5464"/>
      <c r="Y44" s="5464"/>
      <c r="Z44" s="5464"/>
      <c r="AA44" s="5464"/>
      <c r="AB44" s="5464"/>
      <c r="AC44" s="5464"/>
      <c r="AD44" s="5464"/>
      <c r="AE44" s="5464"/>
      <c r="AF44" s="5465"/>
      <c r="AG44" s="5463" t="str">
        <f>INDEX(PT_DIFFERENTIATION_CS,MATCH(C44,PT_DIFFERENTIATION_CS_ID,0))</f>
        <v/>
      </c>
      <c r="AH44" s="5464"/>
      <c r="AI44" s="5464"/>
      <c r="AJ44" s="5464"/>
      <c r="AK44" s="5464"/>
      <c r="AL44" s="5464"/>
      <c r="AM44" s="5464"/>
      <c r="AN44" s="5464"/>
      <c r="AO44" s="5464"/>
      <c r="AP44" s="5464"/>
      <c r="AQ44" s="5464"/>
      <c r="AR44" s="5465"/>
      <c r="AS44" s="1179" t="s">
        <v>623</v>
      </c>
      <c r="AU44" s="438"/>
      <c r="AV44" s="438" t="str">
        <f t="shared" si="1"/>
        <v>Наименование централизованной системы горячего водоснабжения</v>
      </c>
      <c r="AW44" s="438"/>
      <c r="AX44" s="438"/>
      <c r="AY44" s="1076">
        <v>23</v>
      </c>
    </row>
    <row r="45" spans="1:51" ht="24" customHeight="1">
      <c r="A45" s="1284" t="s">
        <v>280</v>
      </c>
      <c r="B45" s="1284" t="s">
        <v>281</v>
      </c>
      <c r="C45" s="1284" t="s">
        <v>282</v>
      </c>
      <c r="D45" s="1284" t="s">
        <v>634</v>
      </c>
      <c r="E45" s="5470"/>
      <c r="F45" s="5470"/>
      <c r="G45" s="5470"/>
      <c r="H45" s="5470"/>
      <c r="I45" s="5471" t="str">
        <f>S44&amp;".1"</f>
        <v>...1</v>
      </c>
      <c r="J45" s="1284"/>
      <c r="K45" s="1284"/>
      <c r="L45" s="1285"/>
      <c r="P45" s="5473">
        <v>1</v>
      </c>
      <c r="Q45" s="1402"/>
      <c r="R45" s="294"/>
      <c r="S45" s="1414" t="str">
        <f>$I45</f>
        <v>...1</v>
      </c>
      <c r="T45" s="223" t="s">
        <v>573</v>
      </c>
      <c r="U45" s="238"/>
      <c r="V45" s="5537"/>
      <c r="W45" s="5538"/>
      <c r="X45" s="5538"/>
      <c r="Y45" s="5538"/>
      <c r="Z45" s="5538"/>
      <c r="AA45" s="5538"/>
      <c r="AB45" s="5538"/>
      <c r="AC45" s="5538"/>
      <c r="AD45" s="5538"/>
      <c r="AE45" s="5538"/>
      <c r="AF45" s="5539"/>
      <c r="AG45" s="5540"/>
      <c r="AH45" s="5541"/>
      <c r="AI45" s="5541"/>
      <c r="AJ45" s="5541"/>
      <c r="AK45" s="5541"/>
      <c r="AL45" s="5541"/>
      <c r="AM45" s="5541"/>
      <c r="AN45" s="5541"/>
      <c r="AO45" s="5541"/>
      <c r="AP45" s="5541"/>
      <c r="AQ45" s="5541"/>
      <c r="AR45" s="5542"/>
      <c r="AS45" s="1179" t="s">
        <v>574</v>
      </c>
      <c r="AU45" s="438"/>
      <c r="AV45" s="438" t="str">
        <f t="shared" si="1"/>
        <v>Наименование признака дифференциации</v>
      </c>
      <c r="AW45" s="438"/>
      <c r="AX45" s="438"/>
      <c r="AY45" s="1076">
        <v>23</v>
      </c>
    </row>
    <row r="46" spans="1:51" ht="24" customHeight="1">
      <c r="A46" s="1284" t="s">
        <v>280</v>
      </c>
      <c r="B46" s="1284" t="s">
        <v>281</v>
      </c>
      <c r="C46" s="1284" t="s">
        <v>282</v>
      </c>
      <c r="D46" s="1284" t="s">
        <v>634</v>
      </c>
      <c r="E46" s="5470"/>
      <c r="F46" s="5470"/>
      <c r="G46" s="5470"/>
      <c r="H46" s="5470"/>
      <c r="I46" s="5472"/>
      <c r="J46" s="5471" t="str">
        <f>I45&amp;".1"</f>
        <v>...1.1</v>
      </c>
      <c r="K46" s="1284"/>
      <c r="L46" s="1285" t="s">
        <v>499</v>
      </c>
      <c r="P46" s="5473"/>
      <c r="Q46" s="5473">
        <v>1</v>
      </c>
      <c r="R46" s="295"/>
      <c r="S46" s="1414" t="str">
        <f>$J46</f>
        <v>...1.1</v>
      </c>
      <c r="T46" s="224" t="s">
        <v>500</v>
      </c>
      <c r="U46" s="238"/>
      <c r="V46" s="5457"/>
      <c r="W46" s="5458"/>
      <c r="X46" s="5458"/>
      <c r="Y46" s="5458"/>
      <c r="Z46" s="5458"/>
      <c r="AA46" s="5458"/>
      <c r="AB46" s="5458"/>
      <c r="AC46" s="5458"/>
      <c r="AD46" s="5458"/>
      <c r="AE46" s="5458"/>
      <c r="AF46" s="5459"/>
      <c r="AG46" s="5457"/>
      <c r="AH46" s="5458"/>
      <c r="AI46" s="5458"/>
      <c r="AJ46" s="5458"/>
      <c r="AK46" s="5458"/>
      <c r="AL46" s="5458"/>
      <c r="AM46" s="5458"/>
      <c r="AN46" s="5458"/>
      <c r="AO46" s="5458"/>
      <c r="AP46" s="5458"/>
      <c r="AQ46" s="5458"/>
      <c r="AR46" s="5459"/>
      <c r="AS46" s="1228" t="s">
        <v>575</v>
      </c>
      <c r="AU46" s="438"/>
      <c r="AV46" s="438" t="str">
        <f t="shared" si="1"/>
        <v>Группа потребителей</v>
      </c>
      <c r="AW46" s="438"/>
      <c r="AX46" s="438"/>
      <c r="AY46" s="1076">
        <v>23</v>
      </c>
    </row>
    <row r="47" spans="1:51" ht="24" customHeight="1">
      <c r="A47" s="1284" t="s">
        <v>280</v>
      </c>
      <c r="B47" s="1284" t="s">
        <v>281</v>
      </c>
      <c r="C47" s="1284" t="s">
        <v>282</v>
      </c>
      <c r="D47" s="1284" t="s">
        <v>634</v>
      </c>
      <c r="E47" s="5470"/>
      <c r="F47" s="5470"/>
      <c r="G47" s="5470"/>
      <c r="H47" s="5470"/>
      <c r="I47" s="5472"/>
      <c r="J47" s="5472"/>
      <c r="K47" s="5471" t="str">
        <f>J46&amp;".1"</f>
        <v>...1.1.1</v>
      </c>
      <c r="L47" s="1285"/>
      <c r="P47" s="5473"/>
      <c r="Q47" s="5473"/>
      <c r="R47" s="295">
        <v>1</v>
      </c>
      <c r="S47" s="1414" t="str">
        <f>$K47</f>
        <v>...1.1.1</v>
      </c>
      <c r="T47" s="1358"/>
      <c r="U47" s="238"/>
      <c r="V47" s="689"/>
      <c r="W47" s="689"/>
      <c r="X47" s="689"/>
      <c r="Y47" s="689"/>
      <c r="Z47" s="689"/>
      <c r="AA47" s="689"/>
      <c r="AB47" s="689"/>
      <c r="AC47" s="5467"/>
      <c r="AD47" s="5466" t="s">
        <v>66</v>
      </c>
      <c r="AE47" s="5467"/>
      <c r="AF47" s="5466" t="s">
        <v>66</v>
      </c>
      <c r="AG47" s="689"/>
      <c r="AH47" s="689"/>
      <c r="AI47" s="689"/>
      <c r="AJ47" s="689"/>
      <c r="AK47" s="689"/>
      <c r="AL47" s="689"/>
      <c r="AM47" s="689"/>
      <c r="AN47" s="5474"/>
      <c r="AO47" s="5338" t="s">
        <v>66</v>
      </c>
      <c r="AP47" s="5476"/>
      <c r="AQ47" s="5338" t="s">
        <v>19</v>
      </c>
      <c r="AR47" s="1359"/>
      <c r="AS4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76">
        <v>23</v>
      </c>
    </row>
    <row r="48" spans="1:51" ht="0" hidden="1" customHeight="1">
      <c r="A48" s="1284" t="s">
        <v>280</v>
      </c>
      <c r="B48" s="1284" t="s">
        <v>281</v>
      </c>
      <c r="C48" s="1284" t="s">
        <v>282</v>
      </c>
      <c r="D48" s="1284" t="s">
        <v>634</v>
      </c>
      <c r="E48" s="5470"/>
      <c r="F48" s="5470"/>
      <c r="G48" s="5470"/>
      <c r="H48" s="5470"/>
      <c r="I48" s="5472"/>
      <c r="J48" s="5472"/>
      <c r="K48" s="5471"/>
      <c r="L48" s="1285"/>
      <c r="P48" s="5473"/>
      <c r="Q48" s="5473"/>
      <c r="R48" s="295"/>
      <c r="S48" s="1411"/>
      <c r="T48" s="238"/>
      <c r="U48" s="238"/>
      <c r="V48" s="1281"/>
      <c r="W48" s="1281"/>
      <c r="X48" s="1281"/>
      <c r="Y48" s="1281"/>
      <c r="Z48" s="1281"/>
      <c r="AA48" s="1281"/>
      <c r="AB48" s="1281"/>
      <c r="AC48" s="5466"/>
      <c r="AD48" s="5466"/>
      <c r="AE48" s="5466"/>
      <c r="AF48" s="5466"/>
      <c r="AG48" s="263"/>
      <c r="AH48" s="263"/>
      <c r="AI48" s="263"/>
      <c r="AJ48" s="263"/>
      <c r="AK48" s="263"/>
      <c r="AL48" s="263"/>
      <c r="AM48" s="263"/>
      <c r="AN48" s="5475"/>
      <c r="AO48" s="5338"/>
      <c r="AP48" s="5477"/>
      <c r="AQ48" s="5338"/>
      <c r="AR48" s="1360"/>
      <c r="AS48" s="5543"/>
      <c r="AU48" s="438"/>
      <c r="AV48" s="438" t="str">
        <f t="shared" si="1"/>
        <v/>
      </c>
      <c r="AW48" s="438"/>
      <c r="AX48" s="438"/>
      <c r="AY48" s="1076">
        <v>0</v>
      </c>
    </row>
    <row r="49" spans="1:51" ht="21" customHeight="1">
      <c r="A49" s="1284" t="s">
        <v>280</v>
      </c>
      <c r="B49" s="1284" t="s">
        <v>281</v>
      </c>
      <c r="C49" s="1284" t="s">
        <v>282</v>
      </c>
      <c r="D49" s="1284" t="s">
        <v>634</v>
      </c>
      <c r="E49" s="5470"/>
      <c r="F49" s="5470"/>
      <c r="G49" s="5470"/>
      <c r="H49" s="5470"/>
      <c r="I49" s="5472"/>
      <c r="J49" s="5471"/>
      <c r="K49" s="1284"/>
      <c r="L49" s="1285"/>
      <c r="P49" s="5473"/>
      <c r="Q49" s="5473"/>
      <c r="R49" s="294"/>
      <c r="S49" s="1199"/>
      <c r="T49" s="225" t="s">
        <v>576</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79" t="s">
        <v>577</v>
      </c>
      <c r="AU49" s="438"/>
      <c r="AV49" s="438" t="str">
        <f t="shared" si="1"/>
        <v>Добавить значение признака дифференциации</v>
      </c>
      <c r="AW49" s="438"/>
      <c r="AX49" s="438"/>
      <c r="AY49" s="1076">
        <v>20</v>
      </c>
    </row>
    <row r="50" spans="1:51" ht="21.95" customHeight="1">
      <c r="A50" s="1284" t="s">
        <v>280</v>
      </c>
      <c r="B50" s="1284" t="s">
        <v>281</v>
      </c>
      <c r="C50" s="1284" t="s">
        <v>282</v>
      </c>
      <c r="D50" s="1284" t="s">
        <v>634</v>
      </c>
      <c r="E50" s="5470"/>
      <c r="F50" s="5470"/>
      <c r="G50" s="5470"/>
      <c r="H50" s="5470"/>
      <c r="I50" s="5471"/>
      <c r="J50" s="1284"/>
      <c r="K50" s="1284"/>
      <c r="L50" s="1285"/>
      <c r="P50" s="5473"/>
      <c r="Q50" s="1402"/>
      <c r="R50" s="294"/>
      <c r="S50" s="1199"/>
      <c r="T50" s="303" t="s">
        <v>505</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1"/>
      <c r="AU50" s="438"/>
      <c r="AV50" s="438" t="str">
        <f t="shared" si="1"/>
        <v>Добавить группу потребителей</v>
      </c>
      <c r="AW50" s="438"/>
      <c r="AX50" s="438"/>
      <c r="AY50" s="1076">
        <v>21</v>
      </c>
    </row>
    <row r="51" spans="1:51" ht="21.95" customHeight="1">
      <c r="A51" s="1284" t="s">
        <v>280</v>
      </c>
      <c r="B51" s="1284" t="s">
        <v>281</v>
      </c>
      <c r="C51" s="1284" t="s">
        <v>282</v>
      </c>
      <c r="D51" s="1284" t="s">
        <v>634</v>
      </c>
      <c r="E51" s="5470"/>
      <c r="F51" s="5470"/>
      <c r="G51" s="5470"/>
      <c r="H51" s="5469"/>
      <c r="I51" s="1284"/>
      <c r="J51" s="1284"/>
      <c r="K51" s="1284"/>
      <c r="L51" s="1285"/>
      <c r="M51" s="1286"/>
      <c r="N51" s="1286"/>
      <c r="O51" s="475"/>
      <c r="P51" s="298"/>
      <c r="Q51" s="313"/>
      <c r="R51" s="293"/>
      <c r="S51" s="1199"/>
      <c r="T51" s="310" t="s">
        <v>578</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76">
        <v>21</v>
      </c>
    </row>
    <row r="52" spans="1:51" s="4275" customFormat="1" ht="0" hidden="1" customHeight="1">
      <c r="A52" s="1264" t="s">
        <v>280</v>
      </c>
      <c r="B52" s="1264" t="s">
        <v>281</v>
      </c>
      <c r="C52" s="1235"/>
      <c r="D52" s="1235"/>
      <c r="E52" s="5470"/>
      <c r="F52" s="5469"/>
      <c r="G52" s="1235"/>
      <c r="H52" s="1235"/>
      <c r="I52" s="1235"/>
      <c r="J52" s="1235"/>
      <c r="K52" s="1235"/>
      <c r="L52" s="1415"/>
      <c r="M52" s="1242"/>
      <c r="N52" s="1242"/>
      <c r="P52" s="1237"/>
      <c r="Q52" s="1238"/>
      <c r="R52" s="1237"/>
      <c r="S52" s="1243"/>
      <c r="T52" s="1246" t="s">
        <v>312</v>
      </c>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U52" s="721"/>
      <c r="AV52" s="721" t="str">
        <f t="shared" si="1"/>
        <v>Добавить централизованную систему для дифференциации</v>
      </c>
      <c r="AW52" s="721"/>
      <c r="AX52" s="721"/>
      <c r="AY52" s="456">
        <v>0</v>
      </c>
    </row>
    <row r="53" spans="1:51" s="4275" customFormat="1" ht="0" hidden="1" customHeight="1">
      <c r="A53" s="1264" t="s">
        <v>280</v>
      </c>
      <c r="B53" s="1264"/>
      <c r="C53" s="1264"/>
      <c r="D53" s="1264"/>
      <c r="E53" s="5469"/>
      <c r="F53" s="1264"/>
      <c r="G53" s="1264"/>
      <c r="H53" s="1264"/>
      <c r="I53" s="1264"/>
      <c r="J53" s="1264"/>
      <c r="K53" s="1264"/>
      <c r="L53" s="1267"/>
      <c r="M53" s="1242"/>
      <c r="N53" s="1242"/>
      <c r="O53" s="456"/>
      <c r="P53" s="318"/>
      <c r="Q53" s="1265"/>
      <c r="R53" s="318"/>
      <c r="S53" s="1243"/>
      <c r="T53" s="1246" t="s">
        <v>360</v>
      </c>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U53" s="438"/>
      <c r="AV53" s="438" t="str">
        <f t="shared" si="1"/>
        <v>Добавить территорию для дифференциации</v>
      </c>
      <c r="AW53" s="438"/>
      <c r="AX53" s="438"/>
      <c r="AY53" s="449">
        <v>0</v>
      </c>
    </row>
    <row r="54" spans="1:51" s="4275" customFormat="1" ht="0" hidden="1" customHeight="1">
      <c r="A54" s="1235"/>
      <c r="B54" s="1235"/>
      <c r="C54" s="1235"/>
      <c r="D54" s="1235"/>
      <c r="E54" s="1264"/>
      <c r="F54" s="1235"/>
      <c r="G54" s="1235"/>
      <c r="H54" s="1235"/>
      <c r="I54" s="1235"/>
      <c r="J54" s="1235"/>
      <c r="K54" s="1235"/>
      <c r="L54" s="1415"/>
      <c r="M54" s="1242"/>
      <c r="N54" s="1242"/>
      <c r="P54" s="1237"/>
      <c r="Q54" s="1238"/>
      <c r="R54" s="1237"/>
      <c r="S54" s="1243"/>
      <c r="T54" s="1246" t="s">
        <v>361</v>
      </c>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U54" s="721"/>
      <c r="AV54" s="721" t="str">
        <f t="shared" si="1"/>
        <v>Добавить наименование тарифа</v>
      </c>
      <c r="AW54" s="721"/>
      <c r="AX54" s="721"/>
      <c r="AY54" s="456">
        <v>0</v>
      </c>
    </row>
    <row r="55" spans="1:51" ht="11.45" customHeight="1">
      <c r="M55" s="1081"/>
      <c r="N55" s="1081"/>
      <c r="O55" s="475"/>
      <c r="P55" s="1076"/>
      <c r="Q55" s="1076"/>
      <c r="R55" s="1076"/>
      <c r="S55" s="1076"/>
      <c r="AT55" s="1076"/>
      <c r="AU55" s="1076"/>
      <c r="AV55" s="1076"/>
      <c r="AW55" s="1076"/>
      <c r="AX55" s="1076"/>
      <c r="AY55" s="1076">
        <v>11</v>
      </c>
    </row>
    <row r="56" spans="1:51" ht="14.65" customHeight="1">
      <c r="O56" s="475"/>
      <c r="S56" s="1174"/>
      <c r="T56" s="5468"/>
      <c r="U56" s="5468"/>
      <c r="V56" s="5468"/>
      <c r="W56" s="5468"/>
      <c r="X56" s="5468"/>
      <c r="Y56" s="5468"/>
      <c r="Z56" s="5468"/>
      <c r="AA56" s="5468"/>
      <c r="AB56" s="5468"/>
      <c r="AC56" s="5468"/>
      <c r="AD56" s="5468"/>
      <c r="AE56" s="5468"/>
      <c r="AF56" s="5468"/>
      <c r="AG56" s="5468"/>
      <c r="AH56" s="5468"/>
      <c r="AI56" s="5468"/>
      <c r="AJ56" s="5468"/>
      <c r="AK56" s="5468"/>
      <c r="AL56" s="5468"/>
      <c r="AM56" s="5468"/>
      <c r="AN56" s="5468"/>
      <c r="AO56" s="5468"/>
      <c r="AP56" s="5468"/>
      <c r="AQ56" s="5468"/>
      <c r="AR56" s="5468"/>
      <c r="AS56" s="5468"/>
      <c r="AY56" s="1076">
        <v>14</v>
      </c>
    </row>
    <row r="57" spans="1:51" ht="14.65" customHeight="1">
      <c r="O57" s="475"/>
      <c r="AY57" s="1076">
        <v>14</v>
      </c>
    </row>
    <row r="58" spans="1:51" ht="14.65" customHeight="1">
      <c r="O58" s="475"/>
      <c r="S58" s="1174"/>
      <c r="T58" s="5468"/>
      <c r="U58" s="5468"/>
      <c r="V58" s="5468"/>
      <c r="W58" s="5468"/>
      <c r="X58" s="5468"/>
      <c r="Y58" s="5468"/>
      <c r="Z58" s="5468"/>
      <c r="AA58" s="5468"/>
      <c r="AB58" s="5468"/>
      <c r="AC58" s="5468"/>
      <c r="AD58" s="5468"/>
      <c r="AE58" s="5468"/>
      <c r="AF58" s="5468"/>
      <c r="AG58" s="5468"/>
      <c r="AH58" s="5468"/>
      <c r="AI58" s="5468"/>
      <c r="AJ58" s="5468"/>
      <c r="AK58" s="5468"/>
      <c r="AL58" s="5468"/>
      <c r="AM58" s="5468"/>
      <c r="AN58" s="5468"/>
      <c r="AO58" s="5468"/>
      <c r="AP58" s="5468"/>
      <c r="AQ58" s="5468"/>
      <c r="AR58" s="5468"/>
      <c r="AS58" s="5468"/>
      <c r="AY58" s="1076">
        <v>14</v>
      </c>
    </row>
    <row r="59" spans="1:51" ht="22.5" hidden="1" customHeight="1">
      <c r="A59" s="1081" t="s">
        <v>82</v>
      </c>
      <c r="B59" s="1081">
        <v>0</v>
      </c>
      <c r="C59" s="1081">
        <v>0</v>
      </c>
      <c r="D59" s="1081">
        <v>0</v>
      </c>
      <c r="E59" s="1081">
        <v>0</v>
      </c>
      <c r="F59" s="1081">
        <v>0</v>
      </c>
      <c r="G59" s="1081">
        <v>0</v>
      </c>
      <c r="H59" s="1081">
        <v>0</v>
      </c>
      <c r="I59" s="1081">
        <v>0</v>
      </c>
      <c r="J59" s="1081">
        <v>0</v>
      </c>
      <c r="K59" s="1081">
        <v>0</v>
      </c>
      <c r="L59" s="1399">
        <v>0</v>
      </c>
      <c r="M59" s="1283">
        <v>0</v>
      </c>
      <c r="N59" s="1283">
        <v>0</v>
      </c>
      <c r="O59" s="1283">
        <v>0</v>
      </c>
      <c r="P59" s="1394">
        <v>3</v>
      </c>
      <c r="Q59" s="282">
        <v>3</v>
      </c>
      <c r="R59" s="282">
        <v>3</v>
      </c>
      <c r="S59" s="519">
        <v>12</v>
      </c>
      <c r="T59" s="1076">
        <v>35</v>
      </c>
      <c r="U59" s="1076">
        <v>0</v>
      </c>
      <c r="V59" s="1076">
        <v>0</v>
      </c>
      <c r="W59" s="1552">
        <v>0</v>
      </c>
      <c r="X59" s="1552">
        <v>0</v>
      </c>
      <c r="Y59" s="1552">
        <v>0</v>
      </c>
      <c r="Z59" s="1552">
        <v>0</v>
      </c>
      <c r="AA59" s="1552">
        <v>0</v>
      </c>
      <c r="AB59" s="1552">
        <v>0</v>
      </c>
      <c r="AC59" s="1076">
        <v>0</v>
      </c>
      <c r="AD59" s="1076">
        <v>0</v>
      </c>
      <c r="AE59" s="1076">
        <v>0</v>
      </c>
      <c r="AF59" s="1076">
        <v>0</v>
      </c>
      <c r="AG59" s="1076">
        <v>19</v>
      </c>
      <c r="AH59" s="1552">
        <v>19</v>
      </c>
      <c r="AI59" s="1552">
        <v>19</v>
      </c>
      <c r="AJ59" s="1552">
        <v>19</v>
      </c>
      <c r="AK59" s="1552">
        <v>19</v>
      </c>
      <c r="AL59" s="1552">
        <v>19</v>
      </c>
      <c r="AM59" s="1076">
        <v>19</v>
      </c>
      <c r="AN59" s="1076">
        <v>11</v>
      </c>
      <c r="AO59" s="1076">
        <v>3</v>
      </c>
      <c r="AP59" s="1076">
        <v>11</v>
      </c>
      <c r="AQ59" s="1076">
        <v>0</v>
      </c>
      <c r="AR59" s="1076">
        <v>4</v>
      </c>
      <c r="AS59" s="1076">
        <v>115</v>
      </c>
      <c r="AT59" s="449">
        <v>10</v>
      </c>
      <c r="AU59" s="449">
        <v>10</v>
      </c>
      <c r="AV59" s="449">
        <v>10</v>
      </c>
      <c r="AW59" s="449">
        <v>10</v>
      </c>
      <c r="AX59" s="449">
        <v>10</v>
      </c>
      <c r="AY59" s="1076">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4.140625" style="4274" hidden="1" customWidth="1"/>
    <col min="10" max="10" width="9.85546875" style="4274" hidden="1" customWidth="1"/>
    <col min="11" max="11" width="14.7109375" style="4274" hidden="1" customWidth="1"/>
    <col min="12" max="12" width="19.140625" style="4300" hidden="1" customWidth="1"/>
    <col min="13" max="14" width="12.28515625" style="4301" hidden="1" customWidth="1"/>
    <col min="15" max="15" width="23.42578125" style="4301" hidden="1" customWidth="1"/>
    <col min="16" max="16" width="3" style="4302" customWidth="1"/>
    <col min="17" max="18" width="3" style="4303" customWidth="1"/>
    <col min="19" max="19" width="12" style="4304" customWidth="1"/>
    <col min="20" max="20" width="35" style="4267" customWidth="1"/>
    <col min="21" max="21" width="0.140625" style="4267" customWidth="1"/>
    <col min="22" max="28" width="19.7109375" style="4267" hidden="1" customWidth="1"/>
    <col min="29" max="29" width="11.7109375" style="4267" hidden="1" customWidth="1"/>
    <col min="30" max="30" width="3.7109375" style="4267" hidden="1" customWidth="1"/>
    <col min="31" max="31" width="11.7109375" style="4267" hidden="1" customWidth="1"/>
    <col min="32" max="32" width="8.5703125" style="4267" hidden="1" customWidth="1"/>
    <col min="33" max="33" width="19.7109375" style="4267" customWidth="1"/>
    <col min="34" max="39" width="19" style="4267" customWidth="1"/>
    <col min="40" max="40" width="11" style="4267" customWidth="1"/>
    <col min="41" max="41" width="3.7109375" style="4267" customWidth="1"/>
    <col min="42" max="42" width="11" style="4267" customWidth="1"/>
    <col min="43" max="43" width="8.5703125" style="4267" hidden="1" customWidth="1"/>
    <col min="44" max="44" width="4" style="4267" customWidth="1"/>
    <col min="45" max="45" width="115" style="4267" customWidth="1"/>
    <col min="46" max="50" width="10" style="4275" customWidth="1"/>
    <col min="51" max="51" width="10.5703125" style="4267" hidden="1"/>
  </cols>
  <sheetData>
    <row r="1" spans="1:51" ht="22.5" hidden="1" customHeight="1">
      <c r="AB1" s="265"/>
      <c r="AC1" s="265"/>
      <c r="AM1" s="265"/>
      <c r="AN1" s="265"/>
      <c r="AY1" s="1076" t="s">
        <v>14</v>
      </c>
    </row>
    <row r="2" spans="1:51" ht="23.25" hidden="1" customHeight="1">
      <c r="A2" s="1284"/>
      <c r="B2" s="1284"/>
      <c r="C2" s="1284"/>
      <c r="D2" s="1284"/>
      <c r="E2" s="5469">
        <v>1</v>
      </c>
      <c r="F2" s="1284"/>
      <c r="G2" s="1284"/>
      <c r="H2" s="1284"/>
      <c r="I2" s="1284"/>
      <c r="J2" s="1284"/>
      <c r="K2" s="1284"/>
      <c r="L2" s="1285"/>
      <c r="M2" s="1286"/>
      <c r="N2" s="1286"/>
      <c r="O2" s="1286"/>
      <c r="P2" s="299"/>
      <c r="Q2" s="298"/>
      <c r="R2" s="293"/>
      <c r="S2" s="1414" t="e">
        <f>INDEX(PT_DIFFERENTIATION_NUM_NTAR,MATCH(A2,PT_DIFFERENTIATION_NTAR_ID,0))</f>
        <v>#N/A</v>
      </c>
      <c r="T2" s="236" t="s">
        <v>155</v>
      </c>
      <c r="U2" s="238"/>
      <c r="V2" s="5463"/>
      <c r="W2" s="5464"/>
      <c r="X2" s="5464"/>
      <c r="Y2" s="5464"/>
      <c r="Z2" s="5464"/>
      <c r="AA2" s="5464"/>
      <c r="AB2" s="5464"/>
      <c r="AC2" s="5464"/>
      <c r="AD2" s="5464"/>
      <c r="AE2" s="5464"/>
      <c r="AF2" s="5465"/>
      <c r="AG2" s="5463" t="e">
        <f>INDEX(PT_DIFFERENTIATION_NTAR,MATCH(A2,PT_DIFFERENTIATION_NTAR_ID,0))</f>
        <v>#N/A</v>
      </c>
      <c r="AH2" s="5464"/>
      <c r="AI2" s="5464"/>
      <c r="AJ2" s="5464"/>
      <c r="AK2" s="5464"/>
      <c r="AL2" s="5464"/>
      <c r="AM2" s="5464"/>
      <c r="AN2" s="5464"/>
      <c r="AO2" s="5464"/>
      <c r="AP2" s="5464"/>
      <c r="AQ2" s="5464"/>
      <c r="AR2" s="5465"/>
      <c r="AS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76">
        <v>0</v>
      </c>
    </row>
    <row r="3" spans="1:51" ht="23.25" hidden="1" customHeight="1">
      <c r="A3" s="1284"/>
      <c r="B3" s="1284"/>
      <c r="C3" s="1284"/>
      <c r="D3" s="1284"/>
      <c r="E3" s="5470"/>
      <c r="F3" s="5469">
        <v>1</v>
      </c>
      <c r="G3" s="1284"/>
      <c r="H3" s="1284"/>
      <c r="I3" s="1284"/>
      <c r="J3" s="1284"/>
      <c r="K3" s="1284"/>
      <c r="L3" s="1285"/>
      <c r="M3" s="1286"/>
      <c r="N3" s="1286"/>
      <c r="O3" s="1286"/>
      <c r="P3" s="1408"/>
      <c r="Q3" s="290"/>
      <c r="R3" s="291"/>
      <c r="S3" s="1414" t="e">
        <f>INDEX(PT_DIFFERENTIATION_NUM_TER,MATCH(B3,PT_DIFFERENTIATION_TER_ID,0))</f>
        <v>#N/A</v>
      </c>
      <c r="T3" s="246" t="s">
        <v>490</v>
      </c>
      <c r="U3" s="238"/>
      <c r="V3" s="5463"/>
      <c r="W3" s="5464"/>
      <c r="X3" s="5464"/>
      <c r="Y3" s="5464"/>
      <c r="Z3" s="5464"/>
      <c r="AA3" s="5464"/>
      <c r="AB3" s="5464"/>
      <c r="AC3" s="5464"/>
      <c r="AD3" s="5464"/>
      <c r="AE3" s="5464"/>
      <c r="AF3" s="5465"/>
      <c r="AG3" s="5463" t="e">
        <f>INDEX(PT_DIFFERENTIATION_TER,MATCH(B3,PT_DIFFERENTIATION_TER_ID,0))</f>
        <v>#N/A</v>
      </c>
      <c r="AH3" s="5464"/>
      <c r="AI3" s="5464"/>
      <c r="AJ3" s="5464"/>
      <c r="AK3" s="5464"/>
      <c r="AL3" s="5464"/>
      <c r="AM3" s="5464"/>
      <c r="AN3" s="5464"/>
      <c r="AO3" s="5464"/>
      <c r="AP3" s="5464"/>
      <c r="AQ3" s="5464"/>
      <c r="AR3" s="5465"/>
      <c r="AS3" s="1179" t="s">
        <v>491</v>
      </c>
      <c r="AU3" s="438"/>
      <c r="AV3" s="438" t="str">
        <f t="shared" si="0"/>
        <v>Территория действия тарифа</v>
      </c>
      <c r="AW3" s="438"/>
      <c r="AX3" s="438"/>
      <c r="AY3" s="1076">
        <v>0</v>
      </c>
    </row>
    <row r="4" spans="1:51" ht="23.25" hidden="1" customHeight="1">
      <c r="A4" s="1284"/>
      <c r="B4" s="1284"/>
      <c r="C4" s="1284"/>
      <c r="D4" s="1284"/>
      <c r="E4" s="5470"/>
      <c r="F4" s="5470"/>
      <c r="G4" s="5469">
        <v>1</v>
      </c>
      <c r="H4" s="1284"/>
      <c r="I4" s="1284"/>
      <c r="J4" s="1284"/>
      <c r="K4" s="1284"/>
      <c r="L4" s="1285"/>
      <c r="M4" s="1286"/>
      <c r="N4" s="1286"/>
      <c r="O4" s="1286"/>
      <c r="P4" s="292"/>
      <c r="Q4" s="290"/>
      <c r="R4" s="291"/>
      <c r="S4" s="1414" t="e">
        <f>INDEX(PT_DIFFERENTIATION_NUM_CS,MATCH(C4,PT_DIFFERENTIATION_CS_ID,0))</f>
        <v>#N/A</v>
      </c>
      <c r="T4" s="247" t="s">
        <v>622</v>
      </c>
      <c r="U4" s="238"/>
      <c r="V4" s="5463"/>
      <c r="W4" s="5464"/>
      <c r="X4" s="5464"/>
      <c r="Y4" s="5464"/>
      <c r="Z4" s="5464"/>
      <c r="AA4" s="5464"/>
      <c r="AB4" s="5464"/>
      <c r="AC4" s="5464"/>
      <c r="AD4" s="5464"/>
      <c r="AE4" s="5464"/>
      <c r="AF4" s="5465"/>
      <c r="AG4" s="5463" t="e">
        <f>INDEX(PT_DIFFERENTIATION_CS,MATCH(C4,PT_DIFFERENTIATION_CS_ID,0))</f>
        <v>#N/A</v>
      </c>
      <c r="AH4" s="5464"/>
      <c r="AI4" s="5464"/>
      <c r="AJ4" s="5464"/>
      <c r="AK4" s="5464"/>
      <c r="AL4" s="5464"/>
      <c r="AM4" s="5464"/>
      <c r="AN4" s="5464"/>
      <c r="AO4" s="5464"/>
      <c r="AP4" s="5464"/>
      <c r="AQ4" s="5464"/>
      <c r="AR4" s="5465"/>
      <c r="AS4" s="1179" t="s">
        <v>623</v>
      </c>
      <c r="AU4" s="438"/>
      <c r="AV4" s="438" t="str">
        <f t="shared" si="0"/>
        <v>Наименование централизованной системы горячего водоснабжения</v>
      </c>
      <c r="AW4" s="438"/>
      <c r="AX4" s="438"/>
      <c r="AY4" s="1076">
        <v>0</v>
      </c>
    </row>
    <row r="5" spans="1:51" ht="23.25" hidden="1" customHeight="1">
      <c r="A5" s="1284"/>
      <c r="B5" s="1284"/>
      <c r="C5" s="1284"/>
      <c r="D5" s="1284"/>
      <c r="E5" s="5470"/>
      <c r="F5" s="5470"/>
      <c r="G5" s="5470"/>
      <c r="H5" s="5470"/>
      <c r="I5" s="5471" t="e">
        <f>S4&amp;".1"</f>
        <v>#N/A</v>
      </c>
      <c r="J5" s="1284"/>
      <c r="K5" s="1284"/>
      <c r="L5" s="1285"/>
      <c r="P5" s="5473">
        <v>1</v>
      </c>
      <c r="Q5" s="1402"/>
      <c r="R5" s="294"/>
      <c r="S5" s="1414" t="e">
        <f>$I5</f>
        <v>#N/A</v>
      </c>
      <c r="T5" s="223" t="s">
        <v>573</v>
      </c>
      <c r="U5" s="238"/>
      <c r="V5" s="5537"/>
      <c r="W5" s="5538"/>
      <c r="X5" s="5538"/>
      <c r="Y5" s="5538"/>
      <c r="Z5" s="5538"/>
      <c r="AA5" s="5538"/>
      <c r="AB5" s="5538"/>
      <c r="AC5" s="5538"/>
      <c r="AD5" s="5538"/>
      <c r="AE5" s="5538"/>
      <c r="AF5" s="5539"/>
      <c r="AG5" s="5540"/>
      <c r="AH5" s="5541"/>
      <c r="AI5" s="5541"/>
      <c r="AJ5" s="5541"/>
      <c r="AK5" s="5541"/>
      <c r="AL5" s="5541"/>
      <c r="AM5" s="5541"/>
      <c r="AN5" s="5541"/>
      <c r="AO5" s="5541"/>
      <c r="AP5" s="5541"/>
      <c r="AQ5" s="5541"/>
      <c r="AR5" s="5542"/>
      <c r="AS5" s="1179" t="s">
        <v>574</v>
      </c>
      <c r="AU5" s="438"/>
      <c r="AV5" s="438" t="str">
        <f t="shared" si="0"/>
        <v>Наименование признака дифференциации</v>
      </c>
      <c r="AW5" s="438"/>
      <c r="AX5" s="438"/>
      <c r="AY5" s="1076">
        <v>0</v>
      </c>
    </row>
    <row r="6" spans="1:51" ht="23.25" hidden="1" customHeight="1">
      <c r="A6" s="1284"/>
      <c r="B6" s="1284"/>
      <c r="C6" s="1284"/>
      <c r="D6" s="1284"/>
      <c r="E6" s="5470"/>
      <c r="F6" s="5470"/>
      <c r="G6" s="5470"/>
      <c r="H6" s="5470"/>
      <c r="I6" s="5472"/>
      <c r="J6" s="5471" t="e">
        <f>I5&amp;".1"</f>
        <v>#N/A</v>
      </c>
      <c r="K6" s="1284"/>
      <c r="L6" s="1285" t="s">
        <v>499</v>
      </c>
      <c r="P6" s="5473"/>
      <c r="Q6" s="5473">
        <v>1</v>
      </c>
      <c r="R6" s="295"/>
      <c r="S6" s="1414" t="e">
        <f>$J6</f>
        <v>#N/A</v>
      </c>
      <c r="T6" s="224" t="s">
        <v>500</v>
      </c>
      <c r="U6" s="238"/>
      <c r="V6" s="5457"/>
      <c r="W6" s="5458"/>
      <c r="X6" s="5458"/>
      <c r="Y6" s="5458"/>
      <c r="Z6" s="5458"/>
      <c r="AA6" s="5458"/>
      <c r="AB6" s="5458"/>
      <c r="AC6" s="5458"/>
      <c r="AD6" s="5458"/>
      <c r="AE6" s="5458"/>
      <c r="AF6" s="5459"/>
      <c r="AG6" s="5457"/>
      <c r="AH6" s="5458"/>
      <c r="AI6" s="5458"/>
      <c r="AJ6" s="5458"/>
      <c r="AK6" s="5458"/>
      <c r="AL6" s="5458"/>
      <c r="AM6" s="5458"/>
      <c r="AN6" s="5458"/>
      <c r="AO6" s="5458"/>
      <c r="AP6" s="5458"/>
      <c r="AQ6" s="5458"/>
      <c r="AR6" s="5459"/>
      <c r="AS6" s="1228" t="s">
        <v>575</v>
      </c>
      <c r="AU6" s="438"/>
      <c r="AV6" s="438" t="str">
        <f t="shared" si="0"/>
        <v>Группа потребителей</v>
      </c>
      <c r="AW6" s="438"/>
      <c r="AX6" s="438"/>
      <c r="AY6" s="1076">
        <v>0</v>
      </c>
    </row>
    <row r="7" spans="1:51" ht="23.25" hidden="1" customHeight="1">
      <c r="A7" s="1284"/>
      <c r="B7" s="1284"/>
      <c r="C7" s="1284"/>
      <c r="D7" s="1284"/>
      <c r="E7" s="5470"/>
      <c r="F7" s="5470"/>
      <c r="G7" s="5470"/>
      <c r="H7" s="5470"/>
      <c r="I7" s="5472"/>
      <c r="J7" s="5472"/>
      <c r="K7" s="5471" t="e">
        <f>J6&amp;".1"</f>
        <v>#N/A</v>
      </c>
      <c r="L7" s="1285"/>
      <c r="P7" s="5473"/>
      <c r="Q7" s="5473"/>
      <c r="R7" s="295">
        <v>1</v>
      </c>
      <c r="S7" s="1414" t="e">
        <f>$K7</f>
        <v>#N/A</v>
      </c>
      <c r="T7" s="1358"/>
      <c r="U7" s="238"/>
      <c r="V7" s="689"/>
      <c r="W7" s="689"/>
      <c r="X7" s="689"/>
      <c r="Y7" s="689"/>
      <c r="Z7" s="689"/>
      <c r="AA7" s="689"/>
      <c r="AB7" s="1178"/>
      <c r="AC7" s="5474"/>
      <c r="AD7" s="5338" t="s">
        <v>66</v>
      </c>
      <c r="AE7" s="5474"/>
      <c r="AF7" s="5338" t="s">
        <v>66</v>
      </c>
      <c r="AG7" s="689"/>
      <c r="AH7" s="689"/>
      <c r="AI7" s="689"/>
      <c r="AJ7" s="689"/>
      <c r="AK7" s="689"/>
      <c r="AL7" s="689"/>
      <c r="AM7" s="1178"/>
      <c r="AN7" s="5474"/>
      <c r="AO7" s="5338" t="s">
        <v>66</v>
      </c>
      <c r="AP7" s="5476"/>
      <c r="AQ7" s="5338" t="s">
        <v>66</v>
      </c>
      <c r="AR7" s="1359"/>
      <c r="AS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76">
        <v>0</v>
      </c>
    </row>
    <row r="8" spans="1:51" ht="14.25" hidden="1" customHeight="1">
      <c r="A8" s="1284"/>
      <c r="B8" s="1284"/>
      <c r="C8" s="1284"/>
      <c r="D8" s="1284"/>
      <c r="E8" s="5470"/>
      <c r="F8" s="5470"/>
      <c r="G8" s="5470"/>
      <c r="H8" s="5470"/>
      <c r="I8" s="5472"/>
      <c r="J8" s="5472"/>
      <c r="K8" s="5471"/>
      <c r="L8" s="1285"/>
      <c r="P8" s="5473"/>
      <c r="Q8" s="5473"/>
      <c r="R8" s="295"/>
      <c r="S8" s="1411"/>
      <c r="T8" s="238"/>
      <c r="U8" s="238"/>
      <c r="V8" s="263"/>
      <c r="W8" s="263"/>
      <c r="X8" s="263"/>
      <c r="Y8" s="263"/>
      <c r="Z8" s="263"/>
      <c r="AA8" s="263"/>
      <c r="AB8" s="266" t="str">
        <f>AC7&amp;"-"&amp;AE7</f>
        <v>-</v>
      </c>
      <c r="AC8" s="5475"/>
      <c r="AD8" s="5338"/>
      <c r="AE8" s="5475"/>
      <c r="AF8" s="5338"/>
      <c r="AG8" s="263"/>
      <c r="AH8" s="263"/>
      <c r="AI8" s="263"/>
      <c r="AJ8" s="263"/>
      <c r="AK8" s="263"/>
      <c r="AL8" s="263"/>
      <c r="AM8" s="266" t="str">
        <f>AN7&amp;"-"&amp;AP7</f>
        <v>-</v>
      </c>
      <c r="AN8" s="5475"/>
      <c r="AO8" s="5338"/>
      <c r="AP8" s="5477"/>
      <c r="AQ8" s="5338"/>
      <c r="AR8" s="1360"/>
      <c r="AS8" s="5543"/>
      <c r="AU8" s="438"/>
      <c r="AV8" s="438" t="str">
        <f t="shared" si="0"/>
        <v/>
      </c>
      <c r="AW8" s="438"/>
      <c r="AX8" s="438"/>
      <c r="AY8" s="1076">
        <v>0</v>
      </c>
    </row>
    <row r="9" spans="1:51" ht="21" hidden="1" customHeight="1">
      <c r="A9" s="1284"/>
      <c r="B9" s="1284"/>
      <c r="C9" s="1284"/>
      <c r="D9" s="1284"/>
      <c r="E9" s="5470"/>
      <c r="F9" s="5470"/>
      <c r="G9" s="5470"/>
      <c r="H9" s="5470"/>
      <c r="I9" s="5472"/>
      <c r="J9" s="5471"/>
      <c r="K9" s="1284"/>
      <c r="L9" s="1285"/>
      <c r="P9" s="5473"/>
      <c r="Q9" s="5473"/>
      <c r="R9" s="294"/>
      <c r="S9" s="1199"/>
      <c r="T9" s="225" t="s">
        <v>576</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79" t="s">
        <v>577</v>
      </c>
      <c r="AU9" s="438"/>
      <c r="AV9" s="438" t="str">
        <f t="shared" si="0"/>
        <v>Добавить значение признака дифференциации</v>
      </c>
      <c r="AW9" s="438"/>
      <c r="AX9" s="438"/>
      <c r="AY9" s="1076">
        <v>0</v>
      </c>
    </row>
    <row r="10" spans="1:51" ht="21" hidden="1" customHeight="1">
      <c r="A10" s="1284"/>
      <c r="B10" s="1284"/>
      <c r="C10" s="1284"/>
      <c r="D10" s="1284"/>
      <c r="E10" s="5470"/>
      <c r="F10" s="5470"/>
      <c r="G10" s="5470"/>
      <c r="H10" s="5470"/>
      <c r="I10" s="5471"/>
      <c r="J10" s="1284"/>
      <c r="K10" s="1284"/>
      <c r="L10" s="1285"/>
      <c r="P10" s="5473"/>
      <c r="Q10" s="1402"/>
      <c r="R10" s="294"/>
      <c r="S10" s="1199"/>
      <c r="T10" s="303" t="s">
        <v>505</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1"/>
      <c r="AU10" s="438"/>
      <c r="AV10" s="438" t="str">
        <f t="shared" si="0"/>
        <v>Добавить группу потребителей</v>
      </c>
      <c r="AW10" s="438"/>
      <c r="AX10" s="438"/>
      <c r="AY10" s="1076">
        <v>0</v>
      </c>
    </row>
    <row r="11" spans="1:51" ht="21" hidden="1" customHeight="1">
      <c r="A11" s="1284"/>
      <c r="B11" s="1284"/>
      <c r="C11" s="1284"/>
      <c r="D11" s="1284"/>
      <c r="E11" s="5470"/>
      <c r="F11" s="5470"/>
      <c r="G11" s="5470"/>
      <c r="H11" s="5469"/>
      <c r="I11" s="1284"/>
      <c r="J11" s="1284"/>
      <c r="K11" s="1284"/>
      <c r="L11" s="1285"/>
      <c r="M11" s="1286"/>
      <c r="N11" s="1286"/>
      <c r="O11" s="475"/>
      <c r="P11" s="298"/>
      <c r="Q11" s="313"/>
      <c r="R11" s="293"/>
      <c r="S11" s="1199"/>
      <c r="T11" s="310" t="s">
        <v>578</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76">
        <v>0</v>
      </c>
    </row>
    <row r="12" spans="1:51" s="4275" customFormat="1" ht="14.25" hidden="1" customHeight="1">
      <c r="A12" s="1264"/>
      <c r="B12" s="1264"/>
      <c r="C12" s="1235"/>
      <c r="D12" s="1235"/>
      <c r="E12" s="5470"/>
      <c r="F12" s="5469"/>
      <c r="G12" s="1235"/>
      <c r="H12" s="1235"/>
      <c r="I12" s="1235"/>
      <c r="J12" s="1235"/>
      <c r="K12" s="1235"/>
      <c r="L12" s="1415"/>
      <c r="M12" s="1242"/>
      <c r="N12" s="1242"/>
      <c r="P12" s="1237"/>
      <c r="Q12" s="1238"/>
      <c r="R12" s="1237"/>
      <c r="S12" s="1243"/>
      <c r="T12" s="1246" t="s">
        <v>312</v>
      </c>
      <c r="U12" s="1245"/>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c r="AU12" s="721"/>
      <c r="AV12" s="721" t="str">
        <f t="shared" si="0"/>
        <v>Добавить централизованную систему для дифференциации</v>
      </c>
      <c r="AW12" s="721"/>
      <c r="AX12" s="721"/>
      <c r="AY12" s="456">
        <v>0</v>
      </c>
    </row>
    <row r="13" spans="1:51" s="4275" customFormat="1" ht="14.25" hidden="1" customHeight="1">
      <c r="A13" s="1264"/>
      <c r="B13" s="1264"/>
      <c r="C13" s="1264"/>
      <c r="D13" s="1264"/>
      <c r="E13" s="5469"/>
      <c r="F13" s="1264"/>
      <c r="G13" s="1264"/>
      <c r="H13" s="1264"/>
      <c r="I13" s="1264"/>
      <c r="J13" s="1264"/>
      <c r="K13" s="1264"/>
      <c r="L13" s="1267"/>
      <c r="M13" s="1242"/>
      <c r="N13" s="1242"/>
      <c r="O13" s="456"/>
      <c r="P13" s="318"/>
      <c r="Q13" s="1265"/>
      <c r="R13" s="318"/>
      <c r="S13" s="1243"/>
      <c r="T13" s="1246" t="s">
        <v>360</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U13" s="438"/>
      <c r="AV13" s="438" t="str">
        <f t="shared" si="0"/>
        <v>Добавить территорию для дифференциации</v>
      </c>
      <c r="AW13" s="438"/>
      <c r="AX13" s="438"/>
      <c r="AY13" s="449">
        <v>0</v>
      </c>
    </row>
    <row r="14" spans="1:51" ht="14.25" hidden="1" customHeight="1">
      <c r="AF14" s="265"/>
      <c r="AQ14" s="265"/>
      <c r="AY14" s="1076">
        <v>0</v>
      </c>
    </row>
    <row r="15" spans="1:51" ht="14.25" hidden="1" customHeight="1">
      <c r="AG15" s="1281"/>
      <c r="AH15" s="1281"/>
      <c r="AI15" s="1281"/>
      <c r="AJ15" s="1281"/>
      <c r="AK15" s="1281"/>
      <c r="AL15" s="1281"/>
      <c r="AM15" s="1282"/>
      <c r="AN15" s="5467"/>
      <c r="AO15" s="5466" t="s">
        <v>66</v>
      </c>
      <c r="AP15" s="5467"/>
      <c r="AQ15" s="5466" t="s">
        <v>66</v>
      </c>
      <c r="AY15" s="1076">
        <v>0</v>
      </c>
    </row>
    <row r="16" spans="1:51" ht="14.25" hidden="1" customHeight="1">
      <c r="AG16" s="1281"/>
      <c r="AH16" s="1281"/>
      <c r="AI16" s="1281"/>
      <c r="AJ16" s="1281"/>
      <c r="AK16" s="1281"/>
      <c r="AL16" s="1281"/>
      <c r="AM16" s="266" t="str">
        <f>AN15&amp;"-"&amp;AP15</f>
        <v>-</v>
      </c>
      <c r="AN16" s="5466"/>
      <c r="AO16" s="5466"/>
      <c r="AP16" s="5466"/>
      <c r="AQ16" s="5466"/>
      <c r="AY16" s="1076">
        <v>0</v>
      </c>
    </row>
    <row r="17" spans="1:51" ht="14.25" hidden="1" customHeight="1">
      <c r="AQ17" s="265"/>
      <c r="AY17" s="1076">
        <v>0</v>
      </c>
    </row>
    <row r="18" spans="1:51" s="4274" customFormat="1" ht="22.5" hidden="1" customHeight="1">
      <c r="L18" s="1399"/>
      <c r="M18" s="1283"/>
      <c r="N18" s="1283"/>
      <c r="O18" s="1288" t="s">
        <v>508</v>
      </c>
      <c r="P18" s="1283"/>
      <c r="Q18" s="1292"/>
      <c r="R18" s="1292"/>
      <c r="S18" s="667"/>
      <c r="W18" s="1287"/>
      <c r="X18" s="1287"/>
      <c r="Y18" s="1287"/>
      <c r="Z18" s="1287"/>
      <c r="AA18" s="1287"/>
      <c r="AC18" s="1288"/>
      <c r="AE18" s="1288"/>
      <c r="AF18" s="1287"/>
      <c r="AH18" s="1287"/>
      <c r="AI18" s="1287"/>
      <c r="AJ18" s="1287"/>
      <c r="AK18" s="1287"/>
      <c r="AL18" s="1287"/>
      <c r="AN18" s="1288"/>
      <c r="AP18" s="1288"/>
      <c r="AQ18" s="1287"/>
      <c r="AT18" s="449"/>
      <c r="AU18" s="449"/>
      <c r="AV18" s="449"/>
      <c r="AW18" s="449"/>
      <c r="AX18" s="449"/>
      <c r="AY18" s="1081">
        <v>0</v>
      </c>
    </row>
    <row r="19" spans="1:51" s="4274" customFormat="1" ht="14.25" hidden="1" customHeight="1">
      <c r="L19" s="1399"/>
      <c r="M19" s="1283"/>
      <c r="N19" s="1283"/>
      <c r="O19" s="1283"/>
      <c r="P19" s="1283"/>
      <c r="Q19" s="1292"/>
      <c r="R19" s="1292"/>
      <c r="S19" s="667"/>
      <c r="W19" s="1287"/>
      <c r="X19" s="1287"/>
      <c r="Y19" s="1287"/>
      <c r="Z19" s="1287"/>
      <c r="AA19" s="1287"/>
      <c r="AF19" s="1287"/>
      <c r="AH19" s="1287"/>
      <c r="AI19" s="1287"/>
      <c r="AJ19" s="1287"/>
      <c r="AK19" s="1287"/>
      <c r="AL19" s="1287"/>
      <c r="AQ19" s="1287"/>
      <c r="AT19" s="449"/>
      <c r="AU19" s="449"/>
      <c r="AV19" s="449"/>
      <c r="AW19" s="449"/>
      <c r="AX19" s="449"/>
      <c r="AY19" s="1081">
        <v>0</v>
      </c>
    </row>
    <row r="20" spans="1:51" s="4274" customFormat="1" ht="12" hidden="1" customHeight="1">
      <c r="L20" s="1399"/>
      <c r="M20" s="1283"/>
      <c r="N20" s="1283"/>
      <c r="O20" s="1285" t="s">
        <v>509</v>
      </c>
      <c r="P20" s="1283"/>
      <c r="Q20" s="1363"/>
      <c r="R20" s="1363"/>
      <c r="S20" s="667"/>
      <c r="T20" s="1081" t="s">
        <v>510</v>
      </c>
      <c r="W20" s="1287"/>
      <c r="X20" s="1287"/>
      <c r="Y20" s="1287"/>
      <c r="Z20" s="1287"/>
      <c r="AA20" s="1287"/>
      <c r="AD20" s="124" t="s">
        <v>511</v>
      </c>
      <c r="AF20" s="124" t="s">
        <v>512</v>
      </c>
      <c r="AG20" s="1081" t="s">
        <v>510</v>
      </c>
      <c r="AH20" s="1287"/>
      <c r="AI20" s="1287"/>
      <c r="AJ20" s="1287"/>
      <c r="AK20" s="1287"/>
      <c r="AL20" s="1287"/>
      <c r="AO20" s="124" t="s">
        <v>513</v>
      </c>
      <c r="AQ20" s="124" t="s">
        <v>512</v>
      </c>
      <c r="AY20" s="1081">
        <v>0</v>
      </c>
    </row>
    <row r="21" spans="1:51" ht="14.25" hidden="1" customHeight="1">
      <c r="O21" s="1285"/>
      <c r="AY21" s="1076">
        <v>0</v>
      </c>
    </row>
    <row r="22" spans="1:51" ht="14.25" hidden="1" customHeight="1">
      <c r="O22" s="1285"/>
      <c r="AY22" s="1076">
        <v>0</v>
      </c>
    </row>
    <row r="23" spans="1:51" ht="14.65" customHeight="1">
      <c r="Q23" s="314"/>
      <c r="R23" s="314"/>
      <c r="S23" s="1196"/>
      <c r="T23" s="301"/>
      <c r="U23" s="301"/>
      <c r="V23" s="447"/>
      <c r="W23" s="1556"/>
      <c r="X23" s="1556"/>
      <c r="Y23" s="1556"/>
      <c r="Z23" s="1556"/>
      <c r="AA23" s="1556"/>
      <c r="AB23" s="447"/>
      <c r="AC23" s="447"/>
      <c r="AD23" s="447"/>
      <c r="AE23" s="447"/>
      <c r="AF23" s="447"/>
      <c r="AG23" s="447"/>
      <c r="AH23" s="1556"/>
      <c r="AI23" s="1556"/>
      <c r="AJ23" s="1556"/>
      <c r="AK23" s="1556"/>
      <c r="AL23" s="1556"/>
      <c r="AM23" s="447"/>
      <c r="AN23" s="447"/>
      <c r="AO23" s="447"/>
      <c r="AP23" s="447"/>
      <c r="AQ23" s="447"/>
      <c r="AY23" s="1076">
        <v>14</v>
      </c>
    </row>
    <row r="24" spans="1:51" ht="26.25" customHeight="1">
      <c r="Q24" s="314"/>
      <c r="R24" s="314"/>
      <c r="S24" s="54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5450"/>
      <c r="U24" s="5450"/>
      <c r="V24" s="5450"/>
      <c r="W24" s="5450"/>
      <c r="X24" s="5450"/>
      <c r="Y24" s="5450"/>
      <c r="Z24" s="5450"/>
      <c r="AA24" s="5450"/>
      <c r="AB24" s="5450"/>
      <c r="AC24" s="5450"/>
      <c r="AD24" s="5450"/>
      <c r="AE24" s="5450"/>
      <c r="AF24" s="5450"/>
      <c r="AG24" s="5450"/>
      <c r="AH24" s="5450"/>
      <c r="AI24" s="5450"/>
      <c r="AJ24" s="5450"/>
      <c r="AK24" s="5450"/>
      <c r="AL24" s="5450"/>
      <c r="AM24" s="5450"/>
      <c r="AN24" s="5450"/>
      <c r="AO24" s="5450"/>
      <c r="AP24" s="5450"/>
      <c r="AQ24" s="1164"/>
      <c r="AY24" s="1076">
        <v>25</v>
      </c>
    </row>
    <row r="25" spans="1:51" ht="14.65" customHeight="1">
      <c r="Q25" s="314"/>
      <c r="R25" s="314"/>
      <c r="S25" s="5423" t="str">
        <f>IF(org=0,"Не определено",org)</f>
        <v>КГУП "Примтеплоэнерго"</v>
      </c>
      <c r="T25" s="5423"/>
      <c r="U25" s="5423"/>
      <c r="V25" s="5423"/>
      <c r="W25" s="5423"/>
      <c r="X25" s="5423"/>
      <c r="Y25" s="5423"/>
      <c r="Z25" s="5423"/>
      <c r="AA25" s="5423"/>
      <c r="AB25" s="5423"/>
      <c r="AC25" s="5423"/>
      <c r="AD25" s="5423"/>
      <c r="AE25" s="5423"/>
      <c r="AF25" s="5423"/>
      <c r="AG25" s="5423"/>
      <c r="AH25" s="5423"/>
      <c r="AI25" s="5423"/>
      <c r="AJ25" s="5423"/>
      <c r="AK25" s="5423"/>
      <c r="AL25" s="5423"/>
      <c r="AM25" s="5423"/>
      <c r="AN25" s="5423"/>
      <c r="AO25" s="5423"/>
      <c r="AP25" s="5423"/>
      <c r="AQ25" s="1164"/>
      <c r="AY25" s="1076">
        <v>14</v>
      </c>
    </row>
    <row r="26" spans="1:51" ht="14.25" hidden="1" customHeight="1">
      <c r="Q26" s="314"/>
      <c r="R26" s="314"/>
      <c r="S26" s="1196"/>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76">
        <v>0</v>
      </c>
    </row>
    <row r="27" spans="1:51" s="4284" customFormat="1" ht="25.5" hidden="1" customHeight="1">
      <c r="A27" s="1289"/>
      <c r="B27" s="1289"/>
      <c r="C27" s="1289"/>
      <c r="D27" s="1289"/>
      <c r="E27" s="1289"/>
      <c r="F27" s="1289"/>
      <c r="G27" s="1289"/>
      <c r="H27" s="1289"/>
      <c r="I27" s="1289"/>
      <c r="J27" s="1289"/>
      <c r="K27" s="1289"/>
      <c r="L27" s="1290"/>
      <c r="M27" s="1289"/>
      <c r="N27" s="1289"/>
      <c r="O27" s="1289"/>
      <c r="S27" s="5460" t="s">
        <v>42</v>
      </c>
      <c r="T27" s="5460"/>
      <c r="U27" s="1293"/>
      <c r="V27" s="5462" t="str">
        <f>IF(TITLE_NAME_OR_PR_CHANGE="",IF(TITLE_NAME_OR_PR="","",TITLE_NAME_OR_PR),TITLE_NAME_OR_PR_CHANGE)</f>
        <v/>
      </c>
      <c r="W27" s="5462"/>
      <c r="X27" s="5462"/>
      <c r="Y27" s="5462"/>
      <c r="Z27" s="5462"/>
      <c r="AA27" s="5462"/>
      <c r="AB27" s="5462"/>
      <c r="AC27" s="5462"/>
      <c r="AD27" s="5462"/>
      <c r="AE27" s="5462"/>
      <c r="AF27" s="264"/>
      <c r="AG27" s="5462" t="str">
        <f>IF(TITLE_NAME_OR_PR_CHANGE="",IF(TITLE_NAME_OR_PR="","",TITLE_NAME_OR_PR),TITLE_NAME_OR_PR_CHANGE)</f>
        <v/>
      </c>
      <c r="AH27" s="5462"/>
      <c r="AI27" s="5462"/>
      <c r="AJ27" s="5462"/>
      <c r="AK27" s="5462"/>
      <c r="AL27" s="5462"/>
      <c r="AM27" s="5462"/>
      <c r="AN27" s="5462"/>
      <c r="AO27" s="5462"/>
      <c r="AP27" s="5462"/>
      <c r="AQ27" s="264"/>
      <c r="AR27" s="264"/>
      <c r="AS27" s="218"/>
      <c r="AT27" s="306"/>
      <c r="AU27" s="306"/>
      <c r="AV27" s="306"/>
      <c r="AW27" s="306"/>
      <c r="AX27" s="306"/>
      <c r="AY27" s="356">
        <v>0</v>
      </c>
    </row>
    <row r="28" spans="1:51" s="4284" customFormat="1" ht="18.75" hidden="1" customHeight="1">
      <c r="A28" s="1289"/>
      <c r="B28" s="1289"/>
      <c r="C28" s="1289"/>
      <c r="D28" s="1289"/>
      <c r="E28" s="1289"/>
      <c r="F28" s="1289"/>
      <c r="G28" s="1289"/>
      <c r="H28" s="1289"/>
      <c r="I28" s="1289"/>
      <c r="J28" s="1289"/>
      <c r="K28" s="1289"/>
      <c r="L28" s="1290"/>
      <c r="M28" s="1289"/>
      <c r="N28" s="1289"/>
      <c r="O28" s="1289"/>
      <c r="S28" s="5460" t="s">
        <v>514</v>
      </c>
      <c r="T28" s="5460"/>
      <c r="U28" s="1293"/>
      <c r="V28" s="5461">
        <f>IF(TITLE_DATE_PR_CHANGE="",IF(TITLE_DATE_PR="","",TITLE_DATE_PR),TITLE_DATE_PR_CHANGE)</f>
        <v>45649.605891203704</v>
      </c>
      <c r="W28" s="5461"/>
      <c r="X28" s="5461"/>
      <c r="Y28" s="5461"/>
      <c r="Z28" s="5461"/>
      <c r="AA28" s="5461"/>
      <c r="AB28" s="5461"/>
      <c r="AC28" s="5461"/>
      <c r="AD28" s="5461"/>
      <c r="AE28" s="5461"/>
      <c r="AF28" s="264"/>
      <c r="AG28" s="5461">
        <f>IF(TITLE_DATE_PR_CHANGE="",IF(TITLE_DATE_PR="","",TITLE_DATE_PR),TITLE_DATE_PR_CHANGE)</f>
        <v>45649.605891203704</v>
      </c>
      <c r="AH28" s="5461"/>
      <c r="AI28" s="5461"/>
      <c r="AJ28" s="5461"/>
      <c r="AK28" s="5461"/>
      <c r="AL28" s="5461"/>
      <c r="AM28" s="5461"/>
      <c r="AN28" s="5461"/>
      <c r="AO28" s="5461"/>
      <c r="AP28" s="5461"/>
      <c r="AQ28" s="264"/>
      <c r="AR28" s="264"/>
      <c r="AS28" s="218"/>
      <c r="AT28" s="306"/>
      <c r="AU28" s="306"/>
      <c r="AV28" s="306"/>
      <c r="AW28" s="306"/>
      <c r="AX28" s="306"/>
      <c r="AY28" s="356">
        <v>0</v>
      </c>
    </row>
    <row r="29" spans="1:51" s="4284" customFormat="1" ht="18.75" hidden="1" customHeight="1">
      <c r="A29" s="1289"/>
      <c r="B29" s="1289"/>
      <c r="C29" s="1289"/>
      <c r="D29" s="1289"/>
      <c r="E29" s="1289"/>
      <c r="F29" s="1289"/>
      <c r="G29" s="1289"/>
      <c r="H29" s="1289"/>
      <c r="I29" s="1289"/>
      <c r="J29" s="1289"/>
      <c r="K29" s="1289"/>
      <c r="L29" s="1290"/>
      <c r="M29" s="1289"/>
      <c r="N29" s="1289"/>
      <c r="O29" s="1289"/>
      <c r="S29" s="5460" t="s">
        <v>515</v>
      </c>
      <c r="T29" s="5460"/>
      <c r="U29" s="1293"/>
      <c r="V29" s="5462" t="str">
        <f>IF(TITLE_NUMBER_PR_CHANGE="",IF(TITLE_NUMBER_PR="","",TITLE_NUMBER_PR),TITLE_NUMBER_PR_CHANGE)</f>
        <v>27-6414</v>
      </c>
      <c r="W29" s="5462"/>
      <c r="X29" s="5462"/>
      <c r="Y29" s="5462"/>
      <c r="Z29" s="5462"/>
      <c r="AA29" s="5462"/>
      <c r="AB29" s="5462"/>
      <c r="AC29" s="5462"/>
      <c r="AD29" s="5462"/>
      <c r="AE29" s="5462"/>
      <c r="AF29" s="264"/>
      <c r="AG29" s="5462" t="str">
        <f>IF(TITLE_NUMBER_PR_CHANGE="",IF(TITLE_NUMBER_PR="","",TITLE_NUMBER_PR),TITLE_NUMBER_PR_CHANGE)</f>
        <v>27-6414</v>
      </c>
      <c r="AH29" s="5462"/>
      <c r="AI29" s="5462"/>
      <c r="AJ29" s="5462"/>
      <c r="AK29" s="5462"/>
      <c r="AL29" s="5462"/>
      <c r="AM29" s="5462"/>
      <c r="AN29" s="5462"/>
      <c r="AO29" s="5462"/>
      <c r="AP29" s="5462"/>
      <c r="AQ29" s="264"/>
      <c r="AR29" s="264"/>
      <c r="AS29" s="218"/>
      <c r="AT29" s="306"/>
      <c r="AU29" s="306"/>
      <c r="AV29" s="306"/>
      <c r="AW29" s="306"/>
      <c r="AX29" s="306"/>
      <c r="AY29" s="356">
        <v>0</v>
      </c>
    </row>
    <row r="30" spans="1:51" s="4284" customFormat="1" ht="18.75" hidden="1" customHeight="1">
      <c r="A30" s="1289"/>
      <c r="B30" s="1289"/>
      <c r="C30" s="1289"/>
      <c r="D30" s="1289"/>
      <c r="E30" s="1289"/>
      <c r="F30" s="1289"/>
      <c r="G30" s="1289"/>
      <c r="H30" s="1289"/>
      <c r="I30" s="1289"/>
      <c r="J30" s="1289"/>
      <c r="K30" s="1289"/>
      <c r="L30" s="1290"/>
      <c r="M30" s="1289"/>
      <c r="N30" s="1289"/>
      <c r="O30" s="1289"/>
      <c r="S30" s="5460" t="s">
        <v>43</v>
      </c>
      <c r="T30" s="5460"/>
      <c r="U30" s="1293"/>
      <c r="V30" s="5462" t="str">
        <f>IF(TITLE_IST_PUB_CHANGE="",IF(TITLE_IST_PUB="","",TITLE_IST_PUB),TITLE_IST_PUB_CHANGE)</f>
        <v/>
      </c>
      <c r="W30" s="5462"/>
      <c r="X30" s="5462"/>
      <c r="Y30" s="5462"/>
      <c r="Z30" s="5462"/>
      <c r="AA30" s="5462"/>
      <c r="AB30" s="5462"/>
      <c r="AC30" s="5462"/>
      <c r="AD30" s="5462"/>
      <c r="AE30" s="5462"/>
      <c r="AF30" s="264"/>
      <c r="AG30" s="5462" t="str">
        <f>IF(TITLE_IST_PUB_CHANGE="",IF(TITLE_IST_PUB="","",TITLE_IST_PUB),TITLE_IST_PUB_CHANGE)</f>
        <v/>
      </c>
      <c r="AH30" s="5462"/>
      <c r="AI30" s="5462"/>
      <c r="AJ30" s="5462"/>
      <c r="AK30" s="5462"/>
      <c r="AL30" s="5462"/>
      <c r="AM30" s="5462"/>
      <c r="AN30" s="5462"/>
      <c r="AO30" s="5462"/>
      <c r="AP30" s="5462"/>
      <c r="AQ30" s="264"/>
      <c r="AR30" s="264"/>
      <c r="AS30" s="218"/>
      <c r="AT30" s="306"/>
      <c r="AU30" s="306"/>
      <c r="AV30" s="306"/>
      <c r="AW30" s="306"/>
      <c r="AX30" s="306"/>
      <c r="AY30" s="356">
        <v>0</v>
      </c>
    </row>
    <row r="31" spans="1:51" ht="14.25" customHeight="1">
      <c r="Q31" s="314"/>
      <c r="R31" s="314"/>
      <c r="S31" s="1196"/>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76">
        <v>0</v>
      </c>
    </row>
    <row r="32" spans="1:51" s="4284" customFormat="1" ht="18.75" customHeight="1">
      <c r="A32" s="1289"/>
      <c r="B32" s="1289"/>
      <c r="C32" s="1289"/>
      <c r="D32" s="1289"/>
      <c r="E32" s="1289"/>
      <c r="F32" s="1289"/>
      <c r="G32" s="1289"/>
      <c r="H32" s="1289"/>
      <c r="I32" s="1289"/>
      <c r="J32" s="1289"/>
      <c r="K32" s="1289"/>
      <c r="L32" s="1290"/>
      <c r="M32" s="1289"/>
      <c r="N32" s="1289"/>
      <c r="O32" s="1289"/>
      <c r="S32" s="5460" t="s">
        <v>516</v>
      </c>
      <c r="T32" s="5460"/>
      <c r="U32" s="1293"/>
      <c r="V32" s="5461">
        <f>IF(TITLE_DATE_PR_CHANGE="",IF(TITLE_DATE_PR="","",TITLE_DATE_PR),TITLE_DATE_PR_CHANGE)</f>
        <v>45649.605891203704</v>
      </c>
      <c r="W32" s="5461"/>
      <c r="X32" s="5461"/>
      <c r="Y32" s="5461"/>
      <c r="Z32" s="5461"/>
      <c r="AA32" s="5461"/>
      <c r="AB32" s="5461"/>
      <c r="AC32" s="5461"/>
      <c r="AD32" s="5461"/>
      <c r="AE32" s="5461"/>
      <c r="AF32" s="264"/>
      <c r="AG32" s="5461">
        <f>IF(TITLE_DATE_PR_CHANGE="",IF(TITLE_DATE_PR="","",TITLE_DATE_PR),TITLE_DATE_PR_CHANGE)</f>
        <v>45649.605891203704</v>
      </c>
      <c r="AH32" s="5461"/>
      <c r="AI32" s="5461"/>
      <c r="AJ32" s="5461"/>
      <c r="AK32" s="5461"/>
      <c r="AL32" s="5461"/>
      <c r="AM32" s="5461"/>
      <c r="AN32" s="5461"/>
      <c r="AO32" s="5461"/>
      <c r="AP32" s="5461"/>
      <c r="AQ32" s="264"/>
      <c r="AR32" s="264"/>
      <c r="AS32" s="218"/>
      <c r="AT32" s="306"/>
      <c r="AU32" s="306"/>
      <c r="AV32" s="306"/>
      <c r="AW32" s="306"/>
      <c r="AX32" s="306"/>
      <c r="AY32" s="356">
        <v>0</v>
      </c>
    </row>
    <row r="33" spans="1:51" s="4284" customFormat="1" ht="18.75" customHeight="1">
      <c r="A33" s="1289"/>
      <c r="B33" s="1289"/>
      <c r="C33" s="1289"/>
      <c r="D33" s="1289"/>
      <c r="E33" s="1289"/>
      <c r="F33" s="1289"/>
      <c r="G33" s="1289"/>
      <c r="H33" s="1289"/>
      <c r="I33" s="1289"/>
      <c r="J33" s="1289"/>
      <c r="K33" s="1289"/>
      <c r="L33" s="1290"/>
      <c r="M33" s="1289"/>
      <c r="N33" s="1289"/>
      <c r="O33" s="1289"/>
      <c r="S33" s="5460" t="s">
        <v>517</v>
      </c>
      <c r="T33" s="5460"/>
      <c r="U33" s="1293"/>
      <c r="V33" s="5462" t="str">
        <f>IF(TITLE_NUMBER_PR_CHANGE="",IF(TITLE_NUMBER_PR="","",TITLE_NUMBER_PR),TITLE_NUMBER_PR_CHANGE)</f>
        <v>27-6414</v>
      </c>
      <c r="W33" s="5462"/>
      <c r="X33" s="5462"/>
      <c r="Y33" s="5462"/>
      <c r="Z33" s="5462"/>
      <c r="AA33" s="5462"/>
      <c r="AB33" s="5462"/>
      <c r="AC33" s="5462"/>
      <c r="AD33" s="5462"/>
      <c r="AE33" s="5462"/>
      <c r="AF33" s="264"/>
      <c r="AG33" s="5462" t="str">
        <f>IF(TITLE_NUMBER_PR_CHANGE="",IF(TITLE_NUMBER_PR="","",TITLE_NUMBER_PR),TITLE_NUMBER_PR_CHANGE)</f>
        <v>27-6414</v>
      </c>
      <c r="AH33" s="5462"/>
      <c r="AI33" s="5462"/>
      <c r="AJ33" s="5462"/>
      <c r="AK33" s="5462"/>
      <c r="AL33" s="5462"/>
      <c r="AM33" s="5462"/>
      <c r="AN33" s="5462"/>
      <c r="AO33" s="5462"/>
      <c r="AP33" s="5462"/>
      <c r="AQ33" s="264"/>
      <c r="AR33" s="264"/>
      <c r="AS33" s="218"/>
      <c r="AT33" s="306"/>
      <c r="AU33" s="306"/>
      <c r="AV33" s="306"/>
      <c r="AW33" s="306"/>
      <c r="AX33" s="306"/>
      <c r="AY33" s="356">
        <v>0</v>
      </c>
    </row>
    <row r="34" spans="1:51" s="4284" customFormat="1" ht="1.1499999999999999" customHeight="1">
      <c r="A34" s="1289"/>
      <c r="B34" s="1289"/>
      <c r="C34" s="1289"/>
      <c r="D34" s="1289"/>
      <c r="E34" s="1289"/>
      <c r="F34" s="1289"/>
      <c r="G34" s="1289"/>
      <c r="H34" s="1289"/>
      <c r="I34" s="1289"/>
      <c r="J34" s="1289"/>
      <c r="K34" s="1289"/>
      <c r="L34" s="1290"/>
      <c r="M34" s="1289"/>
      <c r="N34" s="1289"/>
      <c r="O34" s="1289"/>
      <c r="S34" s="261"/>
      <c r="T34" s="261"/>
      <c r="U34" s="1409"/>
      <c r="V34" s="264"/>
      <c r="W34" s="1556"/>
      <c r="X34" s="1556"/>
      <c r="Y34" s="1556"/>
      <c r="Z34" s="1556"/>
      <c r="AA34" s="1556"/>
      <c r="AB34" s="264"/>
      <c r="AC34" s="264"/>
      <c r="AD34" s="264"/>
      <c r="AE34" s="264"/>
      <c r="AF34" s="216" t="s">
        <v>518</v>
      </c>
      <c r="AG34" s="264"/>
      <c r="AH34" s="1556"/>
      <c r="AI34" s="1556"/>
      <c r="AJ34" s="1556"/>
      <c r="AK34" s="1556"/>
      <c r="AL34" s="1556"/>
      <c r="AM34" s="264"/>
      <c r="AN34" s="264"/>
      <c r="AO34" s="264"/>
      <c r="AP34" s="264"/>
      <c r="AQ34" s="216" t="s">
        <v>518</v>
      </c>
      <c r="AT34" s="306"/>
      <c r="AU34" s="306"/>
      <c r="AV34" s="306"/>
      <c r="AW34" s="306"/>
      <c r="AX34" s="306"/>
      <c r="AY34" s="356">
        <v>1</v>
      </c>
    </row>
    <row r="35" spans="1:51" ht="14.65" customHeight="1">
      <c r="Q35" s="314"/>
      <c r="R35" s="314"/>
      <c r="S35" s="1196"/>
      <c r="T35" s="301"/>
      <c r="U35" s="1165"/>
      <c r="V35" s="5481"/>
      <c r="W35" s="5481"/>
      <c r="X35" s="5481"/>
      <c r="Y35" s="5481"/>
      <c r="Z35" s="5481"/>
      <c r="AA35" s="5481"/>
      <c r="AB35" s="5481"/>
      <c r="AC35" s="5481"/>
      <c r="AD35" s="5481"/>
      <c r="AE35" s="5481"/>
      <c r="AF35" s="5481"/>
      <c r="AG35" s="5481"/>
      <c r="AH35" s="5481"/>
      <c r="AI35" s="5481"/>
      <c r="AJ35" s="5481"/>
      <c r="AK35" s="5481"/>
      <c r="AL35" s="5481"/>
      <c r="AM35" s="5481"/>
      <c r="AN35" s="5481"/>
      <c r="AO35" s="5481"/>
      <c r="AP35" s="5481"/>
      <c r="AQ35" s="5481"/>
      <c r="AY35" s="1076">
        <v>14</v>
      </c>
    </row>
    <row r="36" spans="1:51" ht="14.65" customHeight="1">
      <c r="Q36" s="314"/>
      <c r="R36" s="314"/>
      <c r="S36" s="5328" t="s">
        <v>393</v>
      </c>
      <c r="T36" s="5328"/>
      <c r="U36" s="5328"/>
      <c r="V36" s="5328"/>
      <c r="W36" s="5328"/>
      <c r="X36" s="5328"/>
      <c r="Y36" s="5328"/>
      <c r="Z36" s="5328"/>
      <c r="AA36" s="5328"/>
      <c r="AB36" s="5328"/>
      <c r="AC36" s="5328"/>
      <c r="AD36" s="5328"/>
      <c r="AE36" s="5328"/>
      <c r="AF36" s="5328"/>
      <c r="AG36" s="5328"/>
      <c r="AH36" s="5328"/>
      <c r="AI36" s="5328"/>
      <c r="AJ36" s="5328"/>
      <c r="AK36" s="5328"/>
      <c r="AL36" s="5328"/>
      <c r="AM36" s="5328"/>
      <c r="AN36" s="5328"/>
      <c r="AO36" s="5328"/>
      <c r="AP36" s="5328"/>
      <c r="AQ36" s="5328"/>
      <c r="AR36" s="5328"/>
      <c r="AS36" s="5328" t="s">
        <v>394</v>
      </c>
      <c r="AY36" s="1076">
        <v>14</v>
      </c>
    </row>
    <row r="37" spans="1:51" ht="14.65" customHeight="1">
      <c r="Q37" s="314"/>
      <c r="R37" s="314"/>
      <c r="S37" s="5482" t="s">
        <v>88</v>
      </c>
      <c r="T37" s="5431" t="s">
        <v>519</v>
      </c>
      <c r="U37" s="239"/>
      <c r="V37" s="5483" t="s">
        <v>520</v>
      </c>
      <c r="W37" s="5484"/>
      <c r="X37" s="5484"/>
      <c r="Y37" s="5484"/>
      <c r="Z37" s="5484"/>
      <c r="AA37" s="5484"/>
      <c r="AB37" s="5484"/>
      <c r="AC37" s="5484"/>
      <c r="AD37" s="5484"/>
      <c r="AE37" s="5485"/>
      <c r="AF37" s="5486" t="s">
        <v>521</v>
      </c>
      <c r="AG37" s="5483" t="s">
        <v>520</v>
      </c>
      <c r="AH37" s="5484"/>
      <c r="AI37" s="5484"/>
      <c r="AJ37" s="5484"/>
      <c r="AK37" s="5484"/>
      <c r="AL37" s="5484"/>
      <c r="AM37" s="5484"/>
      <c r="AN37" s="5484"/>
      <c r="AO37" s="5484"/>
      <c r="AP37" s="5485"/>
      <c r="AQ37" s="5486" t="s">
        <v>522</v>
      </c>
      <c r="AR37" s="5489" t="s">
        <v>523</v>
      </c>
      <c r="AS37" s="5328"/>
      <c r="AY37" s="1076">
        <v>14</v>
      </c>
    </row>
    <row r="38" spans="1:51" s="4267" customFormat="1" ht="19.899999999999999" customHeight="1">
      <c r="A38" s="1287"/>
      <c r="B38" s="1287"/>
      <c r="C38" s="1287"/>
      <c r="D38" s="1287"/>
      <c r="E38" s="1287"/>
      <c r="F38" s="1287"/>
      <c r="G38" s="1287"/>
      <c r="H38" s="1287"/>
      <c r="I38" s="1287"/>
      <c r="J38" s="1287"/>
      <c r="K38" s="1287"/>
      <c r="L38" s="1895"/>
      <c r="M38" s="1283"/>
      <c r="N38" s="1283"/>
      <c r="O38" s="1283"/>
      <c r="P38" s="1896"/>
      <c r="Q38" s="314"/>
      <c r="R38" s="314"/>
      <c r="S38" s="5482"/>
      <c r="T38" s="5431"/>
      <c r="U38" s="956"/>
      <c r="V38" s="5328" t="s">
        <v>624</v>
      </c>
      <c r="W38" s="5556" t="s">
        <v>625</v>
      </c>
      <c r="X38" s="5556"/>
      <c r="Y38" s="5556"/>
      <c r="Z38" s="5556" t="s">
        <v>626</v>
      </c>
      <c r="AA38" s="5556"/>
      <c r="AB38" s="5556"/>
      <c r="AC38" s="5404" t="s">
        <v>527</v>
      </c>
      <c r="AD38" s="5511"/>
      <c r="AE38" s="5405"/>
      <c r="AF38" s="5487"/>
      <c r="AG38" s="5328" t="s">
        <v>624</v>
      </c>
      <c r="AH38" s="5556" t="s">
        <v>625</v>
      </c>
      <c r="AI38" s="5556"/>
      <c r="AJ38" s="5556"/>
      <c r="AK38" s="5556" t="s">
        <v>626</v>
      </c>
      <c r="AL38" s="5556"/>
      <c r="AM38" s="5556"/>
      <c r="AN38" s="5404" t="s">
        <v>527</v>
      </c>
      <c r="AO38" s="5511"/>
      <c r="AP38" s="5405"/>
      <c r="AQ38" s="5487"/>
      <c r="AR38" s="5490"/>
      <c r="AS38" s="5328"/>
      <c r="AT38" s="1557"/>
      <c r="AU38" s="1557"/>
      <c r="AV38" s="1557"/>
      <c r="AW38" s="1557"/>
      <c r="AX38" s="1557"/>
      <c r="AY38" s="1552">
        <v>19</v>
      </c>
    </row>
    <row r="39" spans="1:51" ht="19.899999999999999" customHeight="1">
      <c r="Q39" s="314"/>
      <c r="R39" s="314"/>
      <c r="S39" s="5482"/>
      <c r="T39" s="5431"/>
      <c r="U39" s="956"/>
      <c r="V39" s="5328"/>
      <c r="W39" s="5556" t="s">
        <v>627</v>
      </c>
      <c r="X39" s="5556" t="s">
        <v>628</v>
      </c>
      <c r="Y39" s="5556"/>
      <c r="Z39" s="5556" t="s">
        <v>629</v>
      </c>
      <c r="AA39" s="5556" t="s">
        <v>628</v>
      </c>
      <c r="AB39" s="5556"/>
      <c r="AC39" s="5409"/>
      <c r="AD39" s="5512"/>
      <c r="AE39" s="5410"/>
      <c r="AF39" s="5487"/>
      <c r="AG39" s="5328"/>
      <c r="AH39" s="5556" t="s">
        <v>627</v>
      </c>
      <c r="AI39" s="5556" t="s">
        <v>628</v>
      </c>
      <c r="AJ39" s="5556"/>
      <c r="AK39" s="5556" t="s">
        <v>629</v>
      </c>
      <c r="AL39" s="5556" t="s">
        <v>628</v>
      </c>
      <c r="AM39" s="5556"/>
      <c r="AN39" s="5409"/>
      <c r="AO39" s="5512"/>
      <c r="AP39" s="5410"/>
      <c r="AQ39" s="5487"/>
      <c r="AR39" s="5490"/>
      <c r="AS39" s="5328"/>
      <c r="AY39" s="1076">
        <v>19</v>
      </c>
    </row>
    <row r="40" spans="1:51" ht="61.9" customHeight="1">
      <c r="A40" s="1291"/>
      <c r="B40" s="1291" t="s">
        <v>167</v>
      </c>
      <c r="C40" s="1291" t="s">
        <v>168</v>
      </c>
      <c r="D40" s="1291" t="s">
        <v>169</v>
      </c>
      <c r="E40" s="1285" t="s">
        <v>528</v>
      </c>
      <c r="F40" s="1285" t="s">
        <v>529</v>
      </c>
      <c r="G40" s="1285" t="s">
        <v>530</v>
      </c>
      <c r="H40" s="1285"/>
      <c r="I40" s="1285" t="s">
        <v>580</v>
      </c>
      <c r="J40" s="1285" t="s">
        <v>533</v>
      </c>
      <c r="K40" s="1285" t="s">
        <v>581</v>
      </c>
      <c r="L40" s="1285" t="s">
        <v>509</v>
      </c>
      <c r="Q40" s="314"/>
      <c r="R40" s="314"/>
      <c r="S40" s="5482"/>
      <c r="T40" s="5431"/>
      <c r="U40" s="240"/>
      <c r="V40" s="5328"/>
      <c r="W40" s="5556"/>
      <c r="X40" s="1898" t="s">
        <v>630</v>
      </c>
      <c r="Y40" s="1898" t="s">
        <v>631</v>
      </c>
      <c r="Z40" s="5556"/>
      <c r="AA40" s="1898" t="s">
        <v>632</v>
      </c>
      <c r="AB40" s="1898" t="s">
        <v>633</v>
      </c>
      <c r="AC40" s="1410" t="s">
        <v>537</v>
      </c>
      <c r="AD40" s="5436" t="s">
        <v>538</v>
      </c>
      <c r="AE40" s="5449"/>
      <c r="AF40" s="5488"/>
      <c r="AG40" s="5328"/>
      <c r="AH40" s="5556"/>
      <c r="AI40" s="1898" t="s">
        <v>630</v>
      </c>
      <c r="AJ40" s="1898" t="s">
        <v>631</v>
      </c>
      <c r="AK40" s="5556"/>
      <c r="AL40" s="1898" t="s">
        <v>632</v>
      </c>
      <c r="AM40" s="1898" t="s">
        <v>633</v>
      </c>
      <c r="AN40" s="1410" t="s">
        <v>537</v>
      </c>
      <c r="AO40" s="5436" t="s">
        <v>538</v>
      </c>
      <c r="AP40" s="5449"/>
      <c r="AQ40" s="5488"/>
      <c r="AR40" s="5491"/>
      <c r="AS40" s="5328"/>
      <c r="AY40" s="1076">
        <v>59</v>
      </c>
    </row>
    <row r="41" spans="1:51" s="4299" customFormat="1" ht="11.25" hidden="1" customHeight="1">
      <c r="A41" s="1291"/>
      <c r="B41" s="1291"/>
      <c r="C41" s="1291"/>
      <c r="D41" s="1291"/>
      <c r="E41" s="1291"/>
      <c r="F41" s="1291"/>
      <c r="G41" s="1291"/>
      <c r="H41" s="1291"/>
      <c r="I41" s="1291"/>
      <c r="J41" s="1291"/>
      <c r="K41" s="1291"/>
      <c r="L41" s="1285"/>
      <c r="M41" s="1283"/>
      <c r="N41" s="1283"/>
      <c r="O41" s="1283"/>
      <c r="P41" s="1167"/>
      <c r="Q41" s="1168"/>
      <c r="R41" s="1175">
        <v>1</v>
      </c>
      <c r="S41" s="1198" t="s">
        <v>136</v>
      </c>
      <c r="T41" s="1176" t="s">
        <v>103</v>
      </c>
      <c r="U41" s="1166" t="str">
        <f ca="1">OFFSET(U41,0,-1)</f>
        <v>2</v>
      </c>
      <c r="V41" s="1403">
        <f ca="1">OFFSET(V41,0,-1)+1</f>
        <v>3</v>
      </c>
      <c r="W41" s="1894"/>
      <c r="X41" s="1894"/>
      <c r="Y41" s="1894"/>
      <c r="Z41" s="1894"/>
      <c r="AA41" s="1894"/>
      <c r="AB41" s="1403">
        <f ca="1">OFFSET(AB41,0,-1)+1</f>
        <v>1</v>
      </c>
      <c r="AC41" s="1403">
        <f ca="1">OFFSET(AC41,0,-1)+1</f>
        <v>2</v>
      </c>
      <c r="AD41" s="5480">
        <f ca="1">OFFSET(AD41,0,-1)+1</f>
        <v>3</v>
      </c>
      <c r="AE41" s="5480"/>
      <c r="AF41" s="1403">
        <f ca="1">OFFSET(AF41,0,-2)+1</f>
        <v>4</v>
      </c>
      <c r="AG41" s="1403">
        <f ca="1">OFFSET(AG41,0,-1)+1</f>
        <v>5</v>
      </c>
      <c r="AH41" s="1894"/>
      <c r="AI41" s="1894"/>
      <c r="AJ41" s="1894"/>
      <c r="AK41" s="1894"/>
      <c r="AL41" s="1894"/>
      <c r="AM41" s="1403">
        <f ca="1">OFFSET(AM41,0,-1)+1</f>
        <v>1</v>
      </c>
      <c r="AN41" s="1403">
        <f ca="1">OFFSET(AN41,0,-1)+1</f>
        <v>2</v>
      </c>
      <c r="AO41" s="5480">
        <f ca="1">OFFSET(AO41,0,-1)+1</f>
        <v>3</v>
      </c>
      <c r="AP41" s="5480"/>
      <c r="AQ41" s="1403">
        <f ca="1">OFFSET(AQ41,0,-2)+1</f>
        <v>4</v>
      </c>
      <c r="AR41" s="1166">
        <f ca="1">OFFSET(AR41,0,-1)</f>
        <v>4</v>
      </c>
      <c r="AS41" s="1403">
        <f ca="1">OFFSET(AS41,0,-1)+1</f>
        <v>5</v>
      </c>
      <c r="AT41" s="449"/>
      <c r="AU41" s="449"/>
      <c r="AV41" s="449"/>
      <c r="AW41" s="449"/>
      <c r="AX41" s="449"/>
      <c r="AY41" s="434">
        <v>0</v>
      </c>
    </row>
    <row r="42" spans="1:51" ht="24" customHeight="1">
      <c r="A42" s="1284" t="s">
        <v>285</v>
      </c>
      <c r="B42" s="1284"/>
      <c r="C42" s="1284"/>
      <c r="D42" s="1284"/>
      <c r="E42" s="5469">
        <v>1</v>
      </c>
      <c r="F42" s="1284"/>
      <c r="G42" s="1284"/>
      <c r="H42" s="1284"/>
      <c r="I42" s="1284"/>
      <c r="J42" s="1284"/>
      <c r="K42" s="1284"/>
      <c r="L42" s="1285"/>
      <c r="M42" s="1286"/>
      <c r="N42" s="1286"/>
      <c r="O42" s="1286"/>
      <c r="P42" s="299"/>
      <c r="Q42" s="298"/>
      <c r="R42" s="293"/>
      <c r="S42" s="1414">
        <f>INDEX(PT_DIFFERENTIATION_NUM_NTAR,MATCH(A42,PT_DIFFERENTIATION_NTAR_ID,0))</f>
        <v>0</v>
      </c>
      <c r="T42" s="236" t="s">
        <v>155</v>
      </c>
      <c r="U42" s="238"/>
      <c r="V42" s="5463"/>
      <c r="W42" s="5464"/>
      <c r="X42" s="5464"/>
      <c r="Y42" s="5464"/>
      <c r="Z42" s="5464"/>
      <c r="AA42" s="5464"/>
      <c r="AB42" s="5464"/>
      <c r="AC42" s="5464"/>
      <c r="AD42" s="5464"/>
      <c r="AE42" s="5464"/>
      <c r="AF42" s="5465"/>
      <c r="AG42" s="5463" t="str">
        <f>INDEX(PT_DIFFERENTIATION_NTAR,MATCH(A42,PT_DIFFERENTIATION_NTAR_ID,0))</f>
        <v/>
      </c>
      <c r="AH42" s="5464"/>
      <c r="AI42" s="5464"/>
      <c r="AJ42" s="5464"/>
      <c r="AK42" s="5464"/>
      <c r="AL42" s="5464"/>
      <c r="AM42" s="5464"/>
      <c r="AN42" s="5464"/>
      <c r="AO42" s="5464"/>
      <c r="AP42" s="5464"/>
      <c r="AQ42" s="5464"/>
      <c r="AR42" s="5465"/>
      <c r="AS4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76">
        <v>23</v>
      </c>
    </row>
    <row r="43" spans="1:51" ht="24" customHeight="1">
      <c r="A43" s="1284" t="s">
        <v>285</v>
      </c>
      <c r="B43" s="1284" t="s">
        <v>286</v>
      </c>
      <c r="C43" s="1284"/>
      <c r="D43" s="1284"/>
      <c r="E43" s="5470"/>
      <c r="F43" s="5469">
        <v>1</v>
      </c>
      <c r="G43" s="1284"/>
      <c r="H43" s="1284"/>
      <c r="I43" s="1284"/>
      <c r="J43" s="1284"/>
      <c r="K43" s="1284"/>
      <c r="L43" s="1285"/>
      <c r="M43" s="1286"/>
      <c r="N43" s="1286"/>
      <c r="O43" s="1286"/>
      <c r="P43" s="1408"/>
      <c r="Q43" s="290"/>
      <c r="R43" s="291"/>
      <c r="S43" s="1414" t="str">
        <f>INDEX(PT_DIFFERENTIATION_NUM_TER,MATCH(B43,PT_DIFFERENTIATION_TER_ID,0))</f>
        <v>.</v>
      </c>
      <c r="T43" s="246" t="s">
        <v>490</v>
      </c>
      <c r="U43" s="238"/>
      <c r="V43" s="5463"/>
      <c r="W43" s="5464"/>
      <c r="X43" s="5464"/>
      <c r="Y43" s="5464"/>
      <c r="Z43" s="5464"/>
      <c r="AA43" s="5464"/>
      <c r="AB43" s="5464"/>
      <c r="AC43" s="5464"/>
      <c r="AD43" s="5464"/>
      <c r="AE43" s="5464"/>
      <c r="AF43" s="5465"/>
      <c r="AG43" s="5463" t="str">
        <f>INDEX(PT_DIFFERENTIATION_TER,MATCH(B43,PT_DIFFERENTIATION_TER_ID,0))</f>
        <v/>
      </c>
      <c r="AH43" s="5464"/>
      <c r="AI43" s="5464"/>
      <c r="AJ43" s="5464"/>
      <c r="AK43" s="5464"/>
      <c r="AL43" s="5464"/>
      <c r="AM43" s="5464"/>
      <c r="AN43" s="5464"/>
      <c r="AO43" s="5464"/>
      <c r="AP43" s="5464"/>
      <c r="AQ43" s="5464"/>
      <c r="AR43" s="5465"/>
      <c r="AS43" s="1179" t="s">
        <v>491</v>
      </c>
      <c r="AU43" s="438"/>
      <c r="AV43" s="438" t="str">
        <f t="shared" si="1"/>
        <v>Территория действия тарифа</v>
      </c>
      <c r="AW43" s="438"/>
      <c r="AX43" s="438"/>
      <c r="AY43" s="1076">
        <v>23</v>
      </c>
    </row>
    <row r="44" spans="1:51" ht="24" customHeight="1">
      <c r="A44" s="1284" t="s">
        <v>285</v>
      </c>
      <c r="B44" s="1284" t="s">
        <v>286</v>
      </c>
      <c r="C44" s="1284" t="s">
        <v>287</v>
      </c>
      <c r="D44" s="1284"/>
      <c r="E44" s="5470"/>
      <c r="F44" s="5470"/>
      <c r="G44" s="5469">
        <v>1</v>
      </c>
      <c r="H44" s="1284"/>
      <c r="I44" s="1284"/>
      <c r="J44" s="1284"/>
      <c r="K44" s="1284"/>
      <c r="L44" s="1285"/>
      <c r="M44" s="1286"/>
      <c r="N44" s="1286"/>
      <c r="O44" s="1286"/>
      <c r="P44" s="292"/>
      <c r="Q44" s="290"/>
      <c r="R44" s="291"/>
      <c r="S44" s="1414" t="str">
        <f>INDEX(PT_DIFFERENTIATION_NUM_CS,MATCH(C44,PT_DIFFERENTIATION_CS_ID,0))</f>
        <v>..</v>
      </c>
      <c r="T44" s="247" t="s">
        <v>622</v>
      </c>
      <c r="U44" s="238"/>
      <c r="V44" s="5463"/>
      <c r="W44" s="5464"/>
      <c r="X44" s="5464"/>
      <c r="Y44" s="5464"/>
      <c r="Z44" s="5464"/>
      <c r="AA44" s="5464"/>
      <c r="AB44" s="5464"/>
      <c r="AC44" s="5464"/>
      <c r="AD44" s="5464"/>
      <c r="AE44" s="5464"/>
      <c r="AF44" s="5465"/>
      <c r="AG44" s="5463" t="str">
        <f>INDEX(PT_DIFFERENTIATION_CS,MATCH(C44,PT_DIFFERENTIATION_CS_ID,0))</f>
        <v/>
      </c>
      <c r="AH44" s="5464"/>
      <c r="AI44" s="5464"/>
      <c r="AJ44" s="5464"/>
      <c r="AK44" s="5464"/>
      <c r="AL44" s="5464"/>
      <c r="AM44" s="5464"/>
      <c r="AN44" s="5464"/>
      <c r="AO44" s="5464"/>
      <c r="AP44" s="5464"/>
      <c r="AQ44" s="5464"/>
      <c r="AR44" s="5465"/>
      <c r="AS44" s="1179" t="s">
        <v>623</v>
      </c>
      <c r="AU44" s="438"/>
      <c r="AV44" s="438" t="str">
        <f t="shared" si="1"/>
        <v>Наименование централизованной системы горячего водоснабжения</v>
      </c>
      <c r="AW44" s="438"/>
      <c r="AX44" s="438"/>
      <c r="AY44" s="1076">
        <v>23</v>
      </c>
    </row>
    <row r="45" spans="1:51" ht="24" customHeight="1">
      <c r="A45" s="1284" t="s">
        <v>285</v>
      </c>
      <c r="B45" s="1284" t="s">
        <v>286</v>
      </c>
      <c r="C45" s="1284" t="s">
        <v>287</v>
      </c>
      <c r="D45" s="1284" t="s">
        <v>635</v>
      </c>
      <c r="E45" s="5470"/>
      <c r="F45" s="5470"/>
      <c r="G45" s="5470"/>
      <c r="H45" s="5470"/>
      <c r="I45" s="5471" t="str">
        <f>S44&amp;".1"</f>
        <v>...1</v>
      </c>
      <c r="J45" s="1284"/>
      <c r="K45" s="1284"/>
      <c r="L45" s="1285"/>
      <c r="P45" s="5473">
        <v>1</v>
      </c>
      <c r="Q45" s="1402"/>
      <c r="R45" s="294"/>
      <c r="S45" s="1414" t="str">
        <f>$I45</f>
        <v>...1</v>
      </c>
      <c r="T45" s="223" t="s">
        <v>573</v>
      </c>
      <c r="U45" s="238"/>
      <c r="V45" s="5537"/>
      <c r="W45" s="5538"/>
      <c r="X45" s="5538"/>
      <c r="Y45" s="5538"/>
      <c r="Z45" s="5538"/>
      <c r="AA45" s="5538"/>
      <c r="AB45" s="5538"/>
      <c r="AC45" s="5538"/>
      <c r="AD45" s="5538"/>
      <c r="AE45" s="5538"/>
      <c r="AF45" s="5539"/>
      <c r="AG45" s="5540"/>
      <c r="AH45" s="5541"/>
      <c r="AI45" s="5541"/>
      <c r="AJ45" s="5541"/>
      <c r="AK45" s="5541"/>
      <c r="AL45" s="5541"/>
      <c r="AM45" s="5541"/>
      <c r="AN45" s="5541"/>
      <c r="AO45" s="5541"/>
      <c r="AP45" s="5541"/>
      <c r="AQ45" s="5541"/>
      <c r="AR45" s="5542"/>
      <c r="AS45" s="1179" t="s">
        <v>574</v>
      </c>
      <c r="AU45" s="438"/>
      <c r="AV45" s="438" t="str">
        <f t="shared" si="1"/>
        <v>Наименование признака дифференциации</v>
      </c>
      <c r="AW45" s="438"/>
      <c r="AX45" s="438"/>
      <c r="AY45" s="1076">
        <v>23</v>
      </c>
    </row>
    <row r="46" spans="1:51" ht="24" customHeight="1">
      <c r="A46" s="1284" t="s">
        <v>285</v>
      </c>
      <c r="B46" s="1284" t="s">
        <v>286</v>
      </c>
      <c r="C46" s="1284" t="s">
        <v>287</v>
      </c>
      <c r="D46" s="1284" t="s">
        <v>635</v>
      </c>
      <c r="E46" s="5470"/>
      <c r="F46" s="5470"/>
      <c r="G46" s="5470"/>
      <c r="H46" s="5470"/>
      <c r="I46" s="5472"/>
      <c r="J46" s="5471" t="str">
        <f>I45&amp;".1"</f>
        <v>...1.1</v>
      </c>
      <c r="K46" s="1284"/>
      <c r="L46" s="1285" t="s">
        <v>499</v>
      </c>
      <c r="P46" s="5473"/>
      <c r="Q46" s="5473">
        <v>1</v>
      </c>
      <c r="R46" s="295"/>
      <c r="S46" s="1414" t="str">
        <f>$J46</f>
        <v>...1.1</v>
      </c>
      <c r="T46" s="224" t="s">
        <v>500</v>
      </c>
      <c r="U46" s="238"/>
      <c r="V46" s="5457"/>
      <c r="W46" s="5458"/>
      <c r="X46" s="5458"/>
      <c r="Y46" s="5458"/>
      <c r="Z46" s="5458"/>
      <c r="AA46" s="5458"/>
      <c r="AB46" s="5458"/>
      <c r="AC46" s="5458"/>
      <c r="AD46" s="5458"/>
      <c r="AE46" s="5458"/>
      <c r="AF46" s="5459"/>
      <c r="AG46" s="5457"/>
      <c r="AH46" s="5458"/>
      <c r="AI46" s="5458"/>
      <c r="AJ46" s="5458"/>
      <c r="AK46" s="5458"/>
      <c r="AL46" s="5458"/>
      <c r="AM46" s="5458"/>
      <c r="AN46" s="5458"/>
      <c r="AO46" s="5458"/>
      <c r="AP46" s="5458"/>
      <c r="AQ46" s="5458"/>
      <c r="AR46" s="5459"/>
      <c r="AS46" s="1228" t="s">
        <v>575</v>
      </c>
      <c r="AU46" s="438"/>
      <c r="AV46" s="438" t="str">
        <f t="shared" si="1"/>
        <v>Группа потребителей</v>
      </c>
      <c r="AW46" s="438"/>
      <c r="AX46" s="438"/>
      <c r="AY46" s="1076">
        <v>23</v>
      </c>
    </row>
    <row r="47" spans="1:51" ht="24" customHeight="1">
      <c r="A47" s="1284" t="s">
        <v>285</v>
      </c>
      <c r="B47" s="1284" t="s">
        <v>286</v>
      </c>
      <c r="C47" s="1284" t="s">
        <v>287</v>
      </c>
      <c r="D47" s="1284" t="s">
        <v>635</v>
      </c>
      <c r="E47" s="5470"/>
      <c r="F47" s="5470"/>
      <c r="G47" s="5470"/>
      <c r="H47" s="5470"/>
      <c r="I47" s="5472"/>
      <c r="J47" s="5472"/>
      <c r="K47" s="5471" t="str">
        <f>J46&amp;".1"</f>
        <v>...1.1.1</v>
      </c>
      <c r="L47" s="1285"/>
      <c r="P47" s="5473"/>
      <c r="Q47" s="5473"/>
      <c r="R47" s="295">
        <v>1</v>
      </c>
      <c r="S47" s="1414" t="str">
        <f>$K47</f>
        <v>...1.1.1</v>
      </c>
      <c r="T47" s="1358"/>
      <c r="U47" s="238"/>
      <c r="V47" s="1281"/>
      <c r="W47" s="1281"/>
      <c r="X47" s="1281"/>
      <c r="Y47" s="1281"/>
      <c r="Z47" s="1281"/>
      <c r="AA47" s="1281"/>
      <c r="AB47" s="1282"/>
      <c r="AC47" s="5467"/>
      <c r="AD47" s="5466" t="s">
        <v>66</v>
      </c>
      <c r="AE47" s="5467"/>
      <c r="AF47" s="5466" t="s">
        <v>66</v>
      </c>
      <c r="AG47" s="689"/>
      <c r="AH47" s="689"/>
      <c r="AI47" s="689"/>
      <c r="AJ47" s="689"/>
      <c r="AK47" s="689"/>
      <c r="AL47" s="689"/>
      <c r="AM47" s="1178"/>
      <c r="AN47" s="5474"/>
      <c r="AO47" s="5338" t="s">
        <v>66</v>
      </c>
      <c r="AP47" s="5476"/>
      <c r="AQ47" s="5338" t="s">
        <v>19</v>
      </c>
      <c r="AR47" s="1359"/>
      <c r="AS47" s="55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76">
        <v>23</v>
      </c>
    </row>
    <row r="48" spans="1:51" ht="0" hidden="1" customHeight="1">
      <c r="A48" s="1284" t="s">
        <v>285</v>
      </c>
      <c r="B48" s="1284" t="s">
        <v>286</v>
      </c>
      <c r="C48" s="1284" t="s">
        <v>287</v>
      </c>
      <c r="D48" s="1284" t="s">
        <v>635</v>
      </c>
      <c r="E48" s="5470"/>
      <c r="F48" s="5470"/>
      <c r="G48" s="5470"/>
      <c r="H48" s="5470"/>
      <c r="I48" s="5472"/>
      <c r="J48" s="5472"/>
      <c r="K48" s="5471"/>
      <c r="L48" s="1285"/>
      <c r="P48" s="5473"/>
      <c r="Q48" s="5473"/>
      <c r="R48" s="295"/>
      <c r="S48" s="1411"/>
      <c r="T48" s="238"/>
      <c r="U48" s="238"/>
      <c r="V48" s="1281"/>
      <c r="W48" s="1281"/>
      <c r="X48" s="1281"/>
      <c r="Y48" s="1281"/>
      <c r="Z48" s="1281"/>
      <c r="AA48" s="1281"/>
      <c r="AB48" s="266" t="str">
        <f>AC47&amp;"-"&amp;AE47</f>
        <v>-</v>
      </c>
      <c r="AC48" s="5466"/>
      <c r="AD48" s="5466"/>
      <c r="AE48" s="5466"/>
      <c r="AF48" s="5466"/>
      <c r="AG48" s="263"/>
      <c r="AH48" s="263"/>
      <c r="AI48" s="263"/>
      <c r="AJ48" s="263"/>
      <c r="AK48" s="263"/>
      <c r="AL48" s="263"/>
      <c r="AM48" s="266" t="str">
        <f>AN47&amp;"-"&amp;AP47</f>
        <v>-</v>
      </c>
      <c r="AN48" s="5475"/>
      <c r="AO48" s="5338"/>
      <c r="AP48" s="5477"/>
      <c r="AQ48" s="5338"/>
      <c r="AR48" s="1360"/>
      <c r="AS48" s="5543"/>
      <c r="AU48" s="438"/>
      <c r="AV48" s="438" t="str">
        <f t="shared" si="1"/>
        <v/>
      </c>
      <c r="AW48" s="438"/>
      <c r="AX48" s="438"/>
      <c r="AY48" s="1076">
        <v>0</v>
      </c>
    </row>
    <row r="49" spans="1:51" ht="21" customHeight="1">
      <c r="A49" s="1284" t="s">
        <v>285</v>
      </c>
      <c r="B49" s="1284" t="s">
        <v>286</v>
      </c>
      <c r="C49" s="1284" t="s">
        <v>287</v>
      </c>
      <c r="D49" s="1284" t="s">
        <v>635</v>
      </c>
      <c r="E49" s="5470"/>
      <c r="F49" s="5470"/>
      <c r="G49" s="5470"/>
      <c r="H49" s="5470"/>
      <c r="I49" s="5472"/>
      <c r="J49" s="5471"/>
      <c r="K49" s="1284"/>
      <c r="L49" s="1285"/>
      <c r="P49" s="5473"/>
      <c r="Q49" s="5473"/>
      <c r="R49" s="294"/>
      <c r="S49" s="1199"/>
      <c r="T49" s="225" t="s">
        <v>576</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79" t="s">
        <v>577</v>
      </c>
      <c r="AU49" s="438"/>
      <c r="AV49" s="438" t="str">
        <f t="shared" si="1"/>
        <v>Добавить значение признака дифференциации</v>
      </c>
      <c r="AW49" s="438"/>
      <c r="AX49" s="438"/>
      <c r="AY49" s="1076">
        <v>20</v>
      </c>
    </row>
    <row r="50" spans="1:51" ht="21.95" customHeight="1">
      <c r="A50" s="1284" t="s">
        <v>285</v>
      </c>
      <c r="B50" s="1284" t="s">
        <v>286</v>
      </c>
      <c r="C50" s="1284" t="s">
        <v>287</v>
      </c>
      <c r="D50" s="1284" t="s">
        <v>635</v>
      </c>
      <c r="E50" s="5470"/>
      <c r="F50" s="5470"/>
      <c r="G50" s="5470"/>
      <c r="H50" s="5470"/>
      <c r="I50" s="5471"/>
      <c r="J50" s="1284"/>
      <c r="K50" s="1284"/>
      <c r="L50" s="1285"/>
      <c r="P50" s="5473"/>
      <c r="Q50" s="1402"/>
      <c r="R50" s="294"/>
      <c r="S50" s="1199"/>
      <c r="T50" s="303" t="s">
        <v>505</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1"/>
      <c r="AU50" s="438"/>
      <c r="AV50" s="438" t="str">
        <f t="shared" si="1"/>
        <v>Добавить группу потребителей</v>
      </c>
      <c r="AW50" s="438"/>
      <c r="AX50" s="438"/>
      <c r="AY50" s="1076">
        <v>21</v>
      </c>
    </row>
    <row r="51" spans="1:51" ht="21.95" customHeight="1">
      <c r="A51" s="1284" t="s">
        <v>285</v>
      </c>
      <c r="B51" s="1284" t="s">
        <v>286</v>
      </c>
      <c r="C51" s="1284" t="s">
        <v>287</v>
      </c>
      <c r="D51" s="1284" t="s">
        <v>635</v>
      </c>
      <c r="E51" s="5470"/>
      <c r="F51" s="5470"/>
      <c r="G51" s="5470"/>
      <c r="H51" s="5469"/>
      <c r="I51" s="1284"/>
      <c r="J51" s="1284"/>
      <c r="K51" s="1284"/>
      <c r="L51" s="1285"/>
      <c r="M51" s="1286"/>
      <c r="N51" s="1286"/>
      <c r="O51" s="475"/>
      <c r="P51" s="298"/>
      <c r="Q51" s="313"/>
      <c r="R51" s="293"/>
      <c r="S51" s="1199"/>
      <c r="T51" s="310" t="s">
        <v>578</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76">
        <v>21</v>
      </c>
    </row>
    <row r="52" spans="1:51" s="4275" customFormat="1" ht="0" hidden="1" customHeight="1">
      <c r="A52" s="1264" t="s">
        <v>285</v>
      </c>
      <c r="B52" s="1264" t="s">
        <v>286</v>
      </c>
      <c r="C52" s="1235"/>
      <c r="D52" s="1235"/>
      <c r="E52" s="5470"/>
      <c r="F52" s="5469"/>
      <c r="G52" s="1235"/>
      <c r="H52" s="1235"/>
      <c r="I52" s="1235"/>
      <c r="J52" s="1235"/>
      <c r="K52" s="1235"/>
      <c r="L52" s="1415"/>
      <c r="M52" s="1242"/>
      <c r="N52" s="1242"/>
      <c r="P52" s="1237"/>
      <c r="Q52" s="1238"/>
      <c r="R52" s="1237"/>
      <c r="S52" s="1243"/>
      <c r="T52" s="1246" t="s">
        <v>312</v>
      </c>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U52" s="721"/>
      <c r="AV52" s="721" t="str">
        <f t="shared" si="1"/>
        <v>Добавить централизованную систему для дифференциации</v>
      </c>
      <c r="AW52" s="721"/>
      <c r="AX52" s="721"/>
      <c r="AY52" s="456">
        <v>0</v>
      </c>
    </row>
    <row r="53" spans="1:51" s="4275" customFormat="1" ht="0" hidden="1" customHeight="1">
      <c r="A53" s="1264" t="s">
        <v>285</v>
      </c>
      <c r="B53" s="1264"/>
      <c r="C53" s="1264"/>
      <c r="D53" s="1264"/>
      <c r="E53" s="5469"/>
      <c r="F53" s="1264"/>
      <c r="G53" s="1264"/>
      <c r="H53" s="1264"/>
      <c r="I53" s="1264"/>
      <c r="J53" s="1264"/>
      <c r="K53" s="1264"/>
      <c r="L53" s="1267"/>
      <c r="M53" s="1242"/>
      <c r="N53" s="1242"/>
      <c r="O53" s="456"/>
      <c r="P53" s="318"/>
      <c r="Q53" s="1265"/>
      <c r="R53" s="318"/>
      <c r="S53" s="1243"/>
      <c r="T53" s="1246" t="s">
        <v>360</v>
      </c>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U53" s="438"/>
      <c r="AV53" s="438" t="str">
        <f t="shared" si="1"/>
        <v>Добавить территорию для дифференциации</v>
      </c>
      <c r="AW53" s="438"/>
      <c r="AX53" s="438"/>
      <c r="AY53" s="449">
        <v>0</v>
      </c>
    </row>
    <row r="54" spans="1:51" s="4275" customFormat="1" ht="0" hidden="1" customHeight="1">
      <c r="A54" s="1235"/>
      <c r="B54" s="1235"/>
      <c r="C54" s="1235"/>
      <c r="D54" s="1235"/>
      <c r="E54" s="1264"/>
      <c r="F54" s="1235"/>
      <c r="G54" s="1235"/>
      <c r="H54" s="1235"/>
      <c r="I54" s="1235"/>
      <c r="J54" s="1235"/>
      <c r="K54" s="1235"/>
      <c r="L54" s="1415"/>
      <c r="M54" s="1242"/>
      <c r="N54" s="1242"/>
      <c r="P54" s="1237"/>
      <c r="Q54" s="1238"/>
      <c r="R54" s="1237"/>
      <c r="S54" s="1243"/>
      <c r="T54" s="1246" t="s">
        <v>361</v>
      </c>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U54" s="721"/>
      <c r="AV54" s="721" t="str">
        <f t="shared" si="1"/>
        <v>Добавить наименование тарифа</v>
      </c>
      <c r="AW54" s="721"/>
      <c r="AX54" s="721"/>
      <c r="AY54" s="456">
        <v>0</v>
      </c>
    </row>
    <row r="55" spans="1:51" ht="11.45" customHeight="1">
      <c r="M55" s="1081"/>
      <c r="N55" s="1081"/>
      <c r="O55" s="475"/>
      <c r="P55" s="1076"/>
      <c r="Q55" s="1076"/>
      <c r="R55" s="1076"/>
      <c r="S55" s="1076"/>
      <c r="AT55" s="1076"/>
      <c r="AU55" s="1076"/>
      <c r="AV55" s="1076"/>
      <c r="AW55" s="1076"/>
      <c r="AX55" s="1076"/>
      <c r="AY55" s="1076">
        <v>11</v>
      </c>
    </row>
    <row r="56" spans="1:51" ht="14.65" customHeight="1">
      <c r="O56" s="475"/>
      <c r="S56" s="1174"/>
      <c r="T56" s="5468"/>
      <c r="U56" s="5468"/>
      <c r="V56" s="5468"/>
      <c r="W56" s="5468"/>
      <c r="X56" s="5468"/>
      <c r="Y56" s="5468"/>
      <c r="Z56" s="5468"/>
      <c r="AA56" s="5468"/>
      <c r="AB56" s="5468"/>
      <c r="AC56" s="5468"/>
      <c r="AD56" s="5468"/>
      <c r="AE56" s="5468"/>
      <c r="AF56" s="5468"/>
      <c r="AG56" s="5468"/>
      <c r="AH56" s="5468"/>
      <c r="AI56" s="5468"/>
      <c r="AJ56" s="5468"/>
      <c r="AK56" s="5468"/>
      <c r="AL56" s="5468"/>
      <c r="AM56" s="5468"/>
      <c r="AN56" s="5468"/>
      <c r="AO56" s="5468"/>
      <c r="AP56" s="5468"/>
      <c r="AQ56" s="5468"/>
      <c r="AR56" s="5468"/>
      <c r="AS56" s="5468"/>
      <c r="AY56" s="1076">
        <v>14</v>
      </c>
    </row>
    <row r="57" spans="1:51" ht="14.65" customHeight="1">
      <c r="O57" s="475"/>
      <c r="AY57" s="1076">
        <v>14</v>
      </c>
    </row>
    <row r="58" spans="1:51" ht="14.65" customHeight="1">
      <c r="O58" s="475"/>
      <c r="S58" s="1174"/>
      <c r="T58" s="5468"/>
      <c r="U58" s="5468"/>
      <c r="V58" s="5468"/>
      <c r="W58" s="5468"/>
      <c r="X58" s="5468"/>
      <c r="Y58" s="5468"/>
      <c r="Z58" s="5468"/>
      <c r="AA58" s="5468"/>
      <c r="AB58" s="5468"/>
      <c r="AC58" s="5468"/>
      <c r="AD58" s="5468"/>
      <c r="AE58" s="5468"/>
      <c r="AF58" s="5468"/>
      <c r="AG58" s="5468"/>
      <c r="AH58" s="5468"/>
      <c r="AI58" s="5468"/>
      <c r="AJ58" s="5468"/>
      <c r="AK58" s="5468"/>
      <c r="AL58" s="5468"/>
      <c r="AM58" s="5468"/>
      <c r="AN58" s="5468"/>
      <c r="AO58" s="5468"/>
      <c r="AP58" s="5468"/>
      <c r="AQ58" s="5468"/>
      <c r="AR58" s="5468"/>
      <c r="AS58" s="5468"/>
      <c r="AY58" s="1076">
        <v>14</v>
      </c>
    </row>
    <row r="59" spans="1:51" ht="22.5" hidden="1" customHeight="1">
      <c r="A59" s="1081" t="s">
        <v>82</v>
      </c>
      <c r="B59" s="1081">
        <v>0</v>
      </c>
      <c r="C59" s="1081">
        <v>0</v>
      </c>
      <c r="D59" s="1081">
        <v>0</v>
      </c>
      <c r="E59" s="1081">
        <v>0</v>
      </c>
      <c r="F59" s="1081">
        <v>0</v>
      </c>
      <c r="G59" s="1081">
        <v>0</v>
      </c>
      <c r="H59" s="1081">
        <v>0</v>
      </c>
      <c r="I59" s="1081">
        <v>0</v>
      </c>
      <c r="J59" s="1081">
        <v>0</v>
      </c>
      <c r="K59" s="1081">
        <v>0</v>
      </c>
      <c r="L59" s="1399">
        <v>0</v>
      </c>
      <c r="M59" s="1283">
        <v>0</v>
      </c>
      <c r="N59" s="1283">
        <v>0</v>
      </c>
      <c r="O59" s="1283">
        <v>0</v>
      </c>
      <c r="P59" s="1394">
        <v>3</v>
      </c>
      <c r="Q59" s="282">
        <v>3</v>
      </c>
      <c r="R59" s="282">
        <v>3</v>
      </c>
      <c r="S59" s="519">
        <v>12</v>
      </c>
      <c r="T59" s="1076">
        <v>35</v>
      </c>
      <c r="U59" s="1076">
        <v>0</v>
      </c>
      <c r="V59" s="1076">
        <v>0</v>
      </c>
      <c r="W59" s="1552">
        <v>0</v>
      </c>
      <c r="X59" s="1552">
        <v>0</v>
      </c>
      <c r="Y59" s="1552">
        <v>0</v>
      </c>
      <c r="Z59" s="1552">
        <v>0</v>
      </c>
      <c r="AA59" s="1552">
        <v>0</v>
      </c>
      <c r="AB59" s="1076">
        <v>0</v>
      </c>
      <c r="AC59" s="1076">
        <v>0</v>
      </c>
      <c r="AD59" s="1076">
        <v>0</v>
      </c>
      <c r="AE59" s="1076">
        <v>0</v>
      </c>
      <c r="AF59" s="1076">
        <v>0</v>
      </c>
      <c r="AG59" s="1076">
        <v>19</v>
      </c>
      <c r="AH59" s="1552">
        <v>19</v>
      </c>
      <c r="AI59" s="1552">
        <v>19</v>
      </c>
      <c r="AJ59" s="1552">
        <v>19</v>
      </c>
      <c r="AK59" s="1552">
        <v>19</v>
      </c>
      <c r="AL59" s="1552">
        <v>19</v>
      </c>
      <c r="AM59" s="1076">
        <v>19</v>
      </c>
      <c r="AN59" s="1076">
        <v>11</v>
      </c>
      <c r="AO59" s="1076">
        <v>3</v>
      </c>
      <c r="AP59" s="1076">
        <v>11</v>
      </c>
      <c r="AQ59" s="1076">
        <v>0</v>
      </c>
      <c r="AR59" s="1076">
        <v>4</v>
      </c>
      <c r="AS59" s="1076">
        <v>115</v>
      </c>
      <c r="AT59" s="449">
        <v>10</v>
      </c>
      <c r="AU59" s="449">
        <v>10</v>
      </c>
      <c r="AV59" s="449">
        <v>10</v>
      </c>
      <c r="AW59" s="449">
        <v>10</v>
      </c>
      <c r="AX59" s="449">
        <v>10</v>
      </c>
      <c r="AY59" s="1076">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274" hidden="1" customWidth="1"/>
    <col min="2" max="2" width="11" style="4274" hidden="1" customWidth="1"/>
    <col min="3" max="3" width="10.5703125" style="4274" hidden="1"/>
    <col min="4" max="4" width="12.85546875" style="4274" hidden="1" customWidth="1"/>
    <col min="5" max="5" width="10" style="4274" hidden="1" customWidth="1"/>
    <col min="6" max="6" width="8.7109375" style="4274" hidden="1" customWidth="1"/>
    <col min="7" max="7" width="7.5703125" style="4274" hidden="1" customWidth="1"/>
    <col min="8" max="8" width="11.42578125" style="4274" hidden="1" customWidth="1"/>
    <col min="9" max="9" width="12" style="4274" hidden="1" customWidth="1"/>
    <col min="10" max="10" width="9.85546875" style="4274" hidden="1" customWidth="1"/>
    <col min="11" max="11" width="11.42578125" style="4274" hidden="1" customWidth="1"/>
    <col min="12" max="12" width="19.140625" style="4300" hidden="1" customWidth="1"/>
    <col min="13" max="14" width="12.28515625" style="4301" hidden="1" customWidth="1"/>
    <col min="15" max="15" width="23.42578125" style="4301" hidden="1" customWidth="1"/>
    <col min="16" max="16" width="3.7109375" style="4301" hidden="1" customWidth="1"/>
    <col min="17" max="17" width="3.7109375" style="4306" hidden="1" customWidth="1"/>
    <col min="18" max="18" width="3" style="4303" customWidth="1"/>
    <col min="19" max="19" width="12" style="4304" customWidth="1"/>
    <col min="20" max="20" width="31" style="4267" customWidth="1"/>
    <col min="21" max="21" width="0.140625" style="4267" customWidth="1"/>
    <col min="22" max="25" width="21.7109375" style="4267" hidden="1" customWidth="1"/>
    <col min="26" max="26" width="11.7109375" style="4267" hidden="1" customWidth="1"/>
    <col min="27" max="27" width="3.7109375" style="4267" hidden="1" customWidth="1"/>
    <col min="28" max="28" width="11.7109375" style="4267" hidden="1" customWidth="1"/>
    <col min="29" max="29" width="8.5703125" style="4267" hidden="1" customWidth="1"/>
    <col min="30" max="30" width="3.7109375" style="4267" customWidth="1"/>
    <col min="31" max="32" width="3" style="4267" customWidth="1"/>
    <col min="33" max="33" width="24" style="4267" customWidth="1"/>
    <col min="34" max="34" width="3.7109375" style="4267" customWidth="1"/>
    <col min="35" max="36" width="3" style="4267" customWidth="1"/>
    <col min="37" max="37" width="24" style="4267" customWidth="1"/>
    <col min="38" max="38" width="3.7109375" style="4267" customWidth="1"/>
    <col min="39" max="40" width="3" style="4267" customWidth="1"/>
    <col min="41" max="41" width="18" style="4267" customWidth="1"/>
    <col min="42" max="42" width="3.7109375" style="4267" customWidth="1"/>
    <col min="43" max="44" width="3" style="4267" customWidth="1"/>
    <col min="45" max="45" width="18" style="4267" customWidth="1"/>
    <col min="46" max="49" width="21" style="4267" customWidth="1"/>
    <col min="50" max="50" width="11" style="4267" customWidth="1"/>
    <col min="51" max="51" width="3.7109375" style="4267" customWidth="1"/>
    <col min="52" max="52" width="11" style="4267" customWidth="1"/>
    <col min="53" max="53" width="8.5703125" style="4267" hidden="1" customWidth="1"/>
    <col min="54" max="54" width="4" style="4267" customWidth="1"/>
    <col min="55" max="55" width="115" style="4267" customWidth="1"/>
    <col min="56" max="60" width="10" style="4275" customWidth="1"/>
    <col min="61" max="61" width="10.5703125" style="4267" hidden="1"/>
  </cols>
  <sheetData>
    <row r="1" spans="1:61" ht="22.5" hidden="1" customHeight="1">
      <c r="W1" s="265"/>
      <c r="Y1" s="265"/>
      <c r="Z1" s="265"/>
      <c r="AW1" s="265"/>
      <c r="AX1" s="265"/>
      <c r="BI1" s="1076" t="s">
        <v>14</v>
      </c>
    </row>
    <row r="2" spans="1:61" ht="21" hidden="1" customHeight="1">
      <c r="A2" s="1284"/>
      <c r="B2" s="1284"/>
      <c r="C2" s="1284"/>
      <c r="D2" s="1284"/>
      <c r="E2" s="5469">
        <v>1</v>
      </c>
      <c r="F2" s="1284"/>
      <c r="G2" s="1284"/>
      <c r="H2" s="1284"/>
      <c r="I2" s="1284"/>
      <c r="J2" s="1284"/>
      <c r="K2" s="1284"/>
      <c r="L2" s="1285"/>
      <c r="M2" s="1286"/>
      <c r="N2" s="1286"/>
      <c r="O2" s="1286"/>
      <c r="P2" s="1330"/>
      <c r="Q2" s="801"/>
      <c r="R2" s="293"/>
      <c r="S2" s="1414" t="e">
        <f>INDEX(PT_DIFFERENTIATION_NUM_NTAR,MATCH(A2,PT_DIFFERENTIATION_NTAR_ID,0))</f>
        <v>#N/A</v>
      </c>
      <c r="T2" s="236" t="s">
        <v>155</v>
      </c>
      <c r="U2" s="238"/>
      <c r="V2" s="5464"/>
      <c r="W2" s="5464"/>
      <c r="X2" s="5464"/>
      <c r="Y2" s="5464"/>
      <c r="Z2" s="5464"/>
      <c r="AA2" s="5464"/>
      <c r="AB2" s="5464"/>
      <c r="AC2" s="5465"/>
      <c r="AD2" s="5463" t="e">
        <f>INDEX(PT_DIFFERENTIATION_NTAR,MATCH(A2,PT_DIFFERENTIATION_NTAR_ID,0))</f>
        <v>#N/A</v>
      </c>
      <c r="AE2" s="5464"/>
      <c r="AF2" s="5464"/>
      <c r="AG2" s="5464"/>
      <c r="AH2" s="5464"/>
      <c r="AI2" s="5464"/>
      <c r="AJ2" s="5464"/>
      <c r="AK2" s="5464"/>
      <c r="AL2" s="5464"/>
      <c r="AM2" s="5464"/>
      <c r="AN2" s="5464"/>
      <c r="AO2" s="5464"/>
      <c r="AP2" s="5464"/>
      <c r="AQ2" s="5464"/>
      <c r="AR2" s="5464"/>
      <c r="AS2" s="5464"/>
      <c r="AT2" s="5464"/>
      <c r="AU2" s="5464"/>
      <c r="AV2" s="5464"/>
      <c r="AW2" s="5464"/>
      <c r="AX2" s="5464"/>
      <c r="AY2" s="5464"/>
      <c r="AZ2" s="5464"/>
      <c r="BA2" s="5464"/>
      <c r="BB2" s="5465"/>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76">
        <v>0</v>
      </c>
    </row>
    <row r="3" spans="1:61" ht="21" hidden="1" customHeight="1">
      <c r="A3" s="1284"/>
      <c r="B3" s="1284"/>
      <c r="C3" s="1284"/>
      <c r="D3" s="1284"/>
      <c r="E3" s="5470"/>
      <c r="F3" s="5469">
        <v>1</v>
      </c>
      <c r="G3" s="1284"/>
      <c r="H3" s="1284"/>
      <c r="I3" s="1284"/>
      <c r="J3" s="1284"/>
      <c r="K3" s="1284"/>
      <c r="L3" s="1285"/>
      <c r="M3" s="1286"/>
      <c r="N3" s="1286"/>
      <c r="O3" s="1286"/>
      <c r="P3" s="1331"/>
      <c r="Q3" s="1332"/>
      <c r="R3" s="291"/>
      <c r="S3" s="1414" t="e">
        <f>INDEX(PT_DIFFERENTIATION_NUM_TER,MATCH(B3,PT_DIFFERENTIATION_TER_ID,0))</f>
        <v>#N/A</v>
      </c>
      <c r="T3" s="246" t="s">
        <v>490</v>
      </c>
      <c r="U3" s="238"/>
      <c r="V3" s="5464"/>
      <c r="W3" s="5464"/>
      <c r="X3" s="5464"/>
      <c r="Y3" s="5464"/>
      <c r="Z3" s="5464"/>
      <c r="AA3" s="5464"/>
      <c r="AB3" s="5464"/>
      <c r="AC3" s="5465"/>
      <c r="AD3" s="5463" t="e">
        <f>INDEX(PT_DIFFERENTIATION_TER,MATCH(B3,PT_DIFFERENTIATION_TER_ID,0))</f>
        <v>#N/A</v>
      </c>
      <c r="AE3" s="5464"/>
      <c r="AF3" s="5464"/>
      <c r="AG3" s="5464"/>
      <c r="AH3" s="5464"/>
      <c r="AI3" s="5464"/>
      <c r="AJ3" s="5464"/>
      <c r="AK3" s="5464"/>
      <c r="AL3" s="5464"/>
      <c r="AM3" s="5464"/>
      <c r="AN3" s="5464"/>
      <c r="AO3" s="5464"/>
      <c r="AP3" s="5464"/>
      <c r="AQ3" s="5464"/>
      <c r="AR3" s="5464"/>
      <c r="AS3" s="5464"/>
      <c r="AT3" s="5464"/>
      <c r="AU3" s="5464"/>
      <c r="AV3" s="5464"/>
      <c r="AW3" s="5464"/>
      <c r="AX3" s="5464"/>
      <c r="AY3" s="5464"/>
      <c r="AZ3" s="5464"/>
      <c r="BA3" s="5464"/>
      <c r="BB3" s="5465"/>
      <c r="BC3" s="1179" t="s">
        <v>491</v>
      </c>
      <c r="BE3" s="438"/>
      <c r="BF3" s="438" t="str">
        <f t="shared" si="0"/>
        <v>Территория действия тарифа</v>
      </c>
      <c r="BG3" s="438"/>
      <c r="BH3" s="438"/>
      <c r="BI3" s="1076">
        <v>0</v>
      </c>
    </row>
    <row r="4" spans="1:61" ht="33.75" hidden="1" customHeight="1">
      <c r="A4" s="1284"/>
      <c r="B4" s="1284"/>
      <c r="C4" s="1284"/>
      <c r="D4" s="1284"/>
      <c r="E4" s="5470"/>
      <c r="F4" s="5470"/>
      <c r="G4" s="5469">
        <v>1</v>
      </c>
      <c r="H4" s="1284"/>
      <c r="I4" s="1284"/>
      <c r="J4" s="1284"/>
      <c r="K4" s="1284"/>
      <c r="L4" s="1285"/>
      <c r="M4" s="1286"/>
      <c r="N4" s="1286"/>
      <c r="O4" s="1286"/>
      <c r="P4" s="1333"/>
      <c r="Q4" s="1332"/>
      <c r="R4" s="291"/>
      <c r="S4" s="1414" t="e">
        <f>INDEX(PT_DIFFERENTIATION_NUM_CS,MATCH(C4,PT_DIFFERENTIATION_CS_ID,0))</f>
        <v>#N/A</v>
      </c>
      <c r="T4" s="247" t="s">
        <v>622</v>
      </c>
      <c r="U4" s="238"/>
      <c r="V4" s="5464"/>
      <c r="W4" s="5464"/>
      <c r="X4" s="5464"/>
      <c r="Y4" s="5464"/>
      <c r="Z4" s="5464"/>
      <c r="AA4" s="5464"/>
      <c r="AB4" s="5464"/>
      <c r="AC4" s="5465"/>
      <c r="AD4" s="5463" t="e">
        <f>INDEX(PT_DIFFERENTIATION_CS,MATCH(C4,PT_DIFFERENTIATION_CS_ID,0))</f>
        <v>#N/A</v>
      </c>
      <c r="AE4" s="5464"/>
      <c r="AF4" s="5464"/>
      <c r="AG4" s="5464"/>
      <c r="AH4" s="5464"/>
      <c r="AI4" s="5464"/>
      <c r="AJ4" s="5464"/>
      <c r="AK4" s="5464"/>
      <c r="AL4" s="5464"/>
      <c r="AM4" s="5464"/>
      <c r="AN4" s="5464"/>
      <c r="AO4" s="5464"/>
      <c r="AP4" s="5464"/>
      <c r="AQ4" s="5464"/>
      <c r="AR4" s="5464"/>
      <c r="AS4" s="5464"/>
      <c r="AT4" s="5464"/>
      <c r="AU4" s="5464"/>
      <c r="AV4" s="5464"/>
      <c r="AW4" s="5464"/>
      <c r="AX4" s="5464"/>
      <c r="AY4" s="5464"/>
      <c r="AZ4" s="5464"/>
      <c r="BA4" s="5464"/>
      <c r="BB4" s="5465"/>
      <c r="BC4" s="1179" t="s">
        <v>623</v>
      </c>
      <c r="BE4" s="438"/>
      <c r="BF4" s="438" t="str">
        <f t="shared" si="0"/>
        <v>Наименование централизованной системы горячего водоснабжения</v>
      </c>
      <c r="BG4" s="438"/>
      <c r="BH4" s="438"/>
      <c r="BI4" s="1076">
        <v>0</v>
      </c>
    </row>
    <row r="5" spans="1:61" s="4275" customFormat="1" ht="14.25" hidden="1" customHeight="1">
      <c r="A5" s="1264"/>
      <c r="B5" s="1264"/>
      <c r="C5" s="1264"/>
      <c r="D5" s="1264"/>
      <c r="E5" s="5470"/>
      <c r="F5" s="5470"/>
      <c r="G5" s="5470"/>
      <c r="H5" s="5469">
        <v>1</v>
      </c>
      <c r="I5" s="1264"/>
      <c r="J5" s="1264"/>
      <c r="K5" s="1264"/>
      <c r="L5" s="1267"/>
      <c r="M5" s="1236"/>
      <c r="N5" s="1236"/>
      <c r="O5" s="1236"/>
      <c r="P5" s="1418"/>
      <c r="Q5" s="1419"/>
      <c r="R5" s="295"/>
      <c r="S5" s="967"/>
      <c r="T5" s="1420"/>
      <c r="U5" s="1305"/>
      <c r="V5" s="5501"/>
      <c r="W5" s="5501"/>
      <c r="X5" s="5501"/>
      <c r="Y5" s="5501"/>
      <c r="Z5" s="5501"/>
      <c r="AA5" s="5501"/>
      <c r="AB5" s="5501"/>
      <c r="AC5" s="5502"/>
      <c r="AD5" s="5500"/>
      <c r="AE5" s="5501"/>
      <c r="AF5" s="5501"/>
      <c r="AG5" s="5501"/>
      <c r="AH5" s="5501"/>
      <c r="AI5" s="5501"/>
      <c r="AJ5" s="5501"/>
      <c r="AK5" s="5501"/>
      <c r="AL5" s="5501"/>
      <c r="AM5" s="5501"/>
      <c r="AN5" s="5501"/>
      <c r="AO5" s="5501"/>
      <c r="AP5" s="5501"/>
      <c r="AQ5" s="5501"/>
      <c r="AR5" s="5501"/>
      <c r="AS5" s="5501"/>
      <c r="AT5" s="5501"/>
      <c r="AU5" s="5501"/>
      <c r="AV5" s="5501"/>
      <c r="AW5" s="5501"/>
      <c r="AX5" s="5501"/>
      <c r="AY5" s="5501"/>
      <c r="AZ5" s="5501"/>
      <c r="BA5" s="5501"/>
      <c r="BB5" s="5502"/>
      <c r="BC5" s="1306" t="s">
        <v>495</v>
      </c>
      <c r="BE5" s="438"/>
      <c r="BF5" s="438" t="str">
        <f t="shared" si="0"/>
        <v/>
      </c>
      <c r="BG5" s="438"/>
      <c r="BH5" s="438"/>
      <c r="BI5" s="449">
        <v>0</v>
      </c>
    </row>
    <row r="6" spans="1:61" s="4275" customFormat="1" ht="14.25" hidden="1" customHeight="1">
      <c r="A6" s="1264"/>
      <c r="B6" s="1264"/>
      <c r="C6" s="1264"/>
      <c r="D6" s="1264"/>
      <c r="E6" s="5470"/>
      <c r="F6" s="5470"/>
      <c r="G6" s="5470"/>
      <c r="H6" s="5470"/>
      <c r="I6" s="5471" t="str">
        <f>S5&amp;".1"</f>
        <v>.1</v>
      </c>
      <c r="J6" s="1264"/>
      <c r="K6" s="1264"/>
      <c r="L6" s="1267" t="s">
        <v>496</v>
      </c>
      <c r="M6" s="448"/>
      <c r="N6" s="448"/>
      <c r="O6" s="448"/>
      <c r="P6" s="5473">
        <v>1</v>
      </c>
      <c r="Q6" s="1402"/>
      <c r="R6" s="294"/>
      <c r="S6" s="967"/>
      <c r="T6" s="1304"/>
      <c r="U6" s="1305"/>
      <c r="V6" s="5501"/>
      <c r="W6" s="5501"/>
      <c r="X6" s="5501"/>
      <c r="Y6" s="5501"/>
      <c r="Z6" s="5501"/>
      <c r="AA6" s="5501"/>
      <c r="AB6" s="5501"/>
      <c r="AC6" s="5502"/>
      <c r="AD6" s="5500"/>
      <c r="AE6" s="5501"/>
      <c r="AF6" s="5501"/>
      <c r="AG6" s="5501"/>
      <c r="AH6" s="5501"/>
      <c r="AI6" s="5501"/>
      <c r="AJ6" s="5501"/>
      <c r="AK6" s="5501"/>
      <c r="AL6" s="5501"/>
      <c r="AM6" s="5501"/>
      <c r="AN6" s="5501"/>
      <c r="AO6" s="5501"/>
      <c r="AP6" s="5501"/>
      <c r="AQ6" s="5501"/>
      <c r="AR6" s="5501"/>
      <c r="AS6" s="5501"/>
      <c r="AT6" s="5501"/>
      <c r="AU6" s="5501"/>
      <c r="AV6" s="5501"/>
      <c r="AW6" s="5501"/>
      <c r="AX6" s="5501"/>
      <c r="AY6" s="5501"/>
      <c r="AZ6" s="5501"/>
      <c r="BA6" s="5501"/>
      <c r="BB6" s="5502"/>
      <c r="BC6" s="1306"/>
      <c r="BE6" s="438"/>
      <c r="BF6" s="438" t="str">
        <f t="shared" si="0"/>
        <v/>
      </c>
      <c r="BG6" s="438"/>
      <c r="BH6" s="438"/>
      <c r="BI6" s="449">
        <v>0</v>
      </c>
    </row>
    <row r="7" spans="1:61" s="4275" customFormat="1" ht="14.25" hidden="1" customHeight="1">
      <c r="A7" s="1264"/>
      <c r="B7" s="1264"/>
      <c r="C7" s="1264"/>
      <c r="D7" s="1264"/>
      <c r="E7" s="5470"/>
      <c r="F7" s="5470"/>
      <c r="G7" s="5470"/>
      <c r="H7" s="5470"/>
      <c r="I7" s="5472"/>
      <c r="J7" s="5471" t="str">
        <f>S5&amp;".1"</f>
        <v>.1</v>
      </c>
      <c r="K7" s="1264"/>
      <c r="L7" s="1267"/>
      <c r="M7" s="448"/>
      <c r="N7" s="448"/>
      <c r="O7" s="448"/>
      <c r="P7" s="5473"/>
      <c r="Q7" s="5473">
        <v>1</v>
      </c>
      <c r="R7" s="295"/>
      <c r="S7" s="967"/>
      <c r="T7" s="1320"/>
      <c r="U7" s="1305"/>
      <c r="V7" s="5501"/>
      <c r="W7" s="5501"/>
      <c r="X7" s="5501"/>
      <c r="Y7" s="5501"/>
      <c r="Z7" s="5501"/>
      <c r="AA7" s="5501"/>
      <c r="AB7" s="5501"/>
      <c r="AC7" s="5502"/>
      <c r="AD7" s="5500"/>
      <c r="AE7" s="5501"/>
      <c r="AF7" s="5501"/>
      <c r="AG7" s="5501"/>
      <c r="AH7" s="5501"/>
      <c r="AI7" s="5501"/>
      <c r="AJ7" s="5501"/>
      <c r="AK7" s="5501"/>
      <c r="AL7" s="5501"/>
      <c r="AM7" s="5501"/>
      <c r="AN7" s="5501"/>
      <c r="AO7" s="5501"/>
      <c r="AP7" s="5501"/>
      <c r="AQ7" s="5501"/>
      <c r="AR7" s="5501"/>
      <c r="AS7" s="5501"/>
      <c r="AT7" s="5501"/>
      <c r="AU7" s="5501"/>
      <c r="AV7" s="5501"/>
      <c r="AW7" s="5501"/>
      <c r="AX7" s="5501"/>
      <c r="AY7" s="5501"/>
      <c r="AZ7" s="5501"/>
      <c r="BA7" s="5501"/>
      <c r="BB7" s="5502"/>
      <c r="BC7" s="1306"/>
      <c r="BE7" s="438"/>
      <c r="BF7" s="438" t="str">
        <f t="shared" si="0"/>
        <v/>
      </c>
      <c r="BG7" s="438"/>
      <c r="BH7" s="438"/>
      <c r="BI7" s="449">
        <v>0</v>
      </c>
    </row>
    <row r="8" spans="1:61" ht="11.25" hidden="1" customHeight="1">
      <c r="A8" s="1284"/>
      <c r="B8" s="1284"/>
      <c r="C8" s="1284"/>
      <c r="D8" s="1284"/>
      <c r="E8" s="5470"/>
      <c r="F8" s="5470"/>
      <c r="G8" s="5470"/>
      <c r="H8" s="5470"/>
      <c r="I8" s="5472"/>
      <c r="J8" s="5472"/>
      <c r="K8" s="5471" t="e">
        <f>S4&amp;".1"</f>
        <v>#N/A</v>
      </c>
      <c r="L8" s="1285"/>
      <c r="P8" s="5473"/>
      <c r="Q8" s="5473"/>
      <c r="R8" s="5529">
        <v>1</v>
      </c>
      <c r="S8" s="5526" t="e">
        <f>$K8</f>
        <v>#N/A</v>
      </c>
      <c r="T8" s="5546"/>
      <c r="U8" s="238"/>
      <c r="V8" s="689"/>
      <c r="W8" s="1178"/>
      <c r="X8" s="689"/>
      <c r="Y8" s="1178"/>
      <c r="Z8" s="1654"/>
      <c r="AA8" s="1390" t="s">
        <v>66</v>
      </c>
      <c r="AB8" s="1654"/>
      <c r="AC8" s="1390" t="s">
        <v>66</v>
      </c>
      <c r="AD8" s="5399" t="s">
        <v>66</v>
      </c>
      <c r="AE8" s="5522"/>
      <c r="AF8" s="5427">
        <v>1</v>
      </c>
      <c r="AG8" s="5545"/>
      <c r="AH8" s="5338" t="s">
        <v>66</v>
      </c>
      <c r="AI8" s="5522"/>
      <c r="AJ8" s="5427">
        <v>1</v>
      </c>
      <c r="AK8" s="5536" t="s">
        <v>28</v>
      </c>
      <c r="AL8" s="5338" t="s">
        <v>66</v>
      </c>
      <c r="AM8" s="5404"/>
      <c r="AN8" s="5427">
        <v>1</v>
      </c>
      <c r="AO8" s="5549"/>
      <c r="AP8" s="5550" t="s">
        <v>66</v>
      </c>
      <c r="AQ8" s="249"/>
      <c r="AR8" s="1407">
        <v>1</v>
      </c>
      <c r="AS8" s="1413" t="s">
        <v>28</v>
      </c>
      <c r="AT8" s="689"/>
      <c r="AU8" s="1178"/>
      <c r="AV8" s="689"/>
      <c r="AW8" s="1178"/>
      <c r="AX8" s="1654"/>
      <c r="AY8" s="1390" t="s">
        <v>66</v>
      </c>
      <c r="AZ8" s="1654"/>
      <c r="BA8" s="1390" t="s">
        <v>66</v>
      </c>
      <c r="BB8" s="1269"/>
      <c r="BC8" s="5492" t="s">
        <v>591</v>
      </c>
      <c r="BE8" s="438"/>
      <c r="BF8" s="438" t="str">
        <f t="shared" si="0"/>
        <v/>
      </c>
      <c r="BG8" s="438"/>
      <c r="BH8" s="438"/>
      <c r="BI8" s="1076">
        <v>0</v>
      </c>
    </row>
    <row r="9" spans="1:61" ht="11.25" hidden="1" customHeight="1">
      <c r="A9" s="1284"/>
      <c r="B9" s="1284"/>
      <c r="C9" s="1284"/>
      <c r="D9" s="1284"/>
      <c r="E9" s="5470"/>
      <c r="F9" s="5470"/>
      <c r="G9" s="5470"/>
      <c r="H9" s="5470"/>
      <c r="I9" s="5472"/>
      <c r="J9" s="5472"/>
      <c r="K9" s="5471"/>
      <c r="L9" s="1285"/>
      <c r="P9" s="5473"/>
      <c r="Q9" s="5473"/>
      <c r="R9" s="5529"/>
      <c r="S9" s="5527"/>
      <c r="T9" s="5547"/>
      <c r="U9" s="238"/>
      <c r="V9" s="1314"/>
      <c r="W9" s="1417"/>
      <c r="X9" s="1314"/>
      <c r="Y9" s="1417"/>
      <c r="Z9" s="1314"/>
      <c r="AA9" s="1314"/>
      <c r="AB9" s="1314"/>
      <c r="AC9" s="1314"/>
      <c r="AD9" s="5400"/>
      <c r="AE9" s="5522"/>
      <c r="AF9" s="5427"/>
      <c r="AG9" s="5545"/>
      <c r="AH9" s="5338"/>
      <c r="AI9" s="5522"/>
      <c r="AJ9" s="5427"/>
      <c r="AK9" s="5536"/>
      <c r="AL9" s="5338"/>
      <c r="AM9" s="5409"/>
      <c r="AN9" s="5427"/>
      <c r="AO9" s="5549"/>
      <c r="AP9" s="5551"/>
      <c r="AQ9" s="254"/>
      <c r="AR9" s="354"/>
      <c r="AS9" s="354" t="s">
        <v>592</v>
      </c>
      <c r="AT9" s="1314"/>
      <c r="AU9" s="1417"/>
      <c r="AV9" s="1314"/>
      <c r="AW9" s="1417"/>
      <c r="AX9" s="1314"/>
      <c r="AY9" s="1314"/>
      <c r="AZ9" s="1314"/>
      <c r="BA9" s="1314"/>
      <c r="BB9" s="1318"/>
      <c r="BC9" s="5493"/>
      <c r="BE9" s="438"/>
      <c r="BF9" s="438"/>
      <c r="BG9" s="438"/>
      <c r="BH9" s="438"/>
      <c r="BI9" s="1076">
        <v>0</v>
      </c>
    </row>
    <row r="10" spans="1:61" ht="11.25" hidden="1" customHeight="1">
      <c r="A10" s="1284"/>
      <c r="B10" s="1284"/>
      <c r="C10" s="1284"/>
      <c r="D10" s="1284"/>
      <c r="E10" s="5470"/>
      <c r="F10" s="5470"/>
      <c r="G10" s="5470"/>
      <c r="H10" s="5470"/>
      <c r="I10" s="5472"/>
      <c r="J10" s="5472"/>
      <c r="K10" s="5471"/>
      <c r="L10" s="1285"/>
      <c r="P10" s="5473"/>
      <c r="Q10" s="5473"/>
      <c r="R10" s="5529"/>
      <c r="S10" s="5527"/>
      <c r="T10" s="5547"/>
      <c r="U10" s="238"/>
      <c r="V10" s="1314"/>
      <c r="W10" s="1417"/>
      <c r="X10" s="1314"/>
      <c r="Y10" s="1417"/>
      <c r="Z10" s="1314"/>
      <c r="AA10" s="1314"/>
      <c r="AB10" s="1314"/>
      <c r="AC10" s="1314"/>
      <c r="AD10" s="5400"/>
      <c r="AE10" s="5522"/>
      <c r="AF10" s="5427"/>
      <c r="AG10" s="5545"/>
      <c r="AH10" s="5338"/>
      <c r="AI10" s="5522"/>
      <c r="AJ10" s="5427"/>
      <c r="AK10" s="5536"/>
      <c r="AL10" s="5338"/>
      <c r="AM10" s="254"/>
      <c r="AN10" s="1421"/>
      <c r="AO10" s="1421" t="s">
        <v>593</v>
      </c>
      <c r="AP10" s="354"/>
      <c r="AQ10" s="354"/>
      <c r="AR10" s="354"/>
      <c r="AS10" s="1314"/>
      <c r="AT10" s="1314"/>
      <c r="AU10" s="1417"/>
      <c r="AV10" s="1314"/>
      <c r="AW10" s="1417"/>
      <c r="AX10" s="1314"/>
      <c r="AY10" s="1314"/>
      <c r="AZ10" s="1314"/>
      <c r="BA10" s="1314"/>
      <c r="BB10" s="1318"/>
      <c r="BC10" s="5493"/>
      <c r="BE10" s="438"/>
      <c r="BF10" s="438"/>
      <c r="BG10" s="438"/>
      <c r="BH10" s="438"/>
      <c r="BI10" s="1076">
        <v>0</v>
      </c>
    </row>
    <row r="11" spans="1:61" ht="11.25" hidden="1" customHeight="1">
      <c r="A11" s="1284"/>
      <c r="B11" s="1284"/>
      <c r="C11" s="1284"/>
      <c r="D11" s="1284"/>
      <c r="E11" s="5470"/>
      <c r="F11" s="5470"/>
      <c r="G11" s="5470"/>
      <c r="H11" s="5470"/>
      <c r="I11" s="5472"/>
      <c r="J11" s="5472"/>
      <c r="K11" s="5471"/>
      <c r="L11" s="1285"/>
      <c r="P11" s="5473"/>
      <c r="Q11" s="5473"/>
      <c r="R11" s="5529"/>
      <c r="S11" s="5527"/>
      <c r="T11" s="5547"/>
      <c r="U11" s="238"/>
      <c r="V11" s="1314"/>
      <c r="W11" s="1417"/>
      <c r="X11" s="1314"/>
      <c r="Y11" s="1417"/>
      <c r="Z11" s="1314"/>
      <c r="AA11" s="1314"/>
      <c r="AB11" s="1314"/>
      <c r="AC11" s="1314"/>
      <c r="AD11" s="5400"/>
      <c r="AE11" s="5522"/>
      <c r="AF11" s="5427"/>
      <c r="AG11" s="5545"/>
      <c r="AH11" s="5338"/>
      <c r="AI11" s="232"/>
      <c r="AJ11" s="353"/>
      <c r="AK11" s="251" t="s">
        <v>594</v>
      </c>
      <c r="AL11" s="1314"/>
      <c r="AM11" s="1314"/>
      <c r="AN11" s="1314"/>
      <c r="AO11" s="1314"/>
      <c r="AP11" s="1314"/>
      <c r="AQ11" s="1314"/>
      <c r="AR11" s="1314"/>
      <c r="AS11" s="1314"/>
      <c r="AT11" s="1314"/>
      <c r="AU11" s="1417"/>
      <c r="AV11" s="1314"/>
      <c r="AW11" s="1417"/>
      <c r="AX11" s="1314"/>
      <c r="AY11" s="1314"/>
      <c r="AZ11" s="1314"/>
      <c r="BA11" s="1314"/>
      <c r="BB11" s="1318"/>
      <c r="BC11" s="5493"/>
      <c r="BE11" s="438"/>
      <c r="BF11" s="438"/>
      <c r="BG11" s="438"/>
      <c r="BH11" s="438"/>
      <c r="BI11" s="1076">
        <v>0</v>
      </c>
    </row>
    <row r="12" spans="1:61" ht="11.25" hidden="1" customHeight="1">
      <c r="A12" s="1284"/>
      <c r="B12" s="1284"/>
      <c r="C12" s="1284"/>
      <c r="D12" s="1284"/>
      <c r="E12" s="5470"/>
      <c r="F12" s="5470"/>
      <c r="G12" s="5470"/>
      <c r="H12" s="5470"/>
      <c r="I12" s="5472"/>
      <c r="J12" s="5472"/>
      <c r="K12" s="5471"/>
      <c r="L12" s="1285"/>
      <c r="P12" s="5473"/>
      <c r="Q12" s="5473"/>
      <c r="R12" s="5529"/>
      <c r="S12" s="5528"/>
      <c r="T12" s="5548"/>
      <c r="U12" s="238"/>
      <c r="V12" s="1314"/>
      <c r="W12" s="1315" t="str">
        <f>Z8&amp;"-"&amp;AB8</f>
        <v>-</v>
      </c>
      <c r="X12" s="1314"/>
      <c r="Y12" s="1315" t="str">
        <f>AB8&amp;"-"&amp;AD8</f>
        <v>-да</v>
      </c>
      <c r="Z12" s="1314"/>
      <c r="AA12" s="1314"/>
      <c r="AB12" s="1314"/>
      <c r="AC12" s="1314"/>
      <c r="AD12" s="5343"/>
      <c r="AE12" s="250"/>
      <c r="AF12" s="252"/>
      <c r="AG12" s="354" t="s">
        <v>595</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5493"/>
      <c r="BE12" s="438"/>
      <c r="BF12" s="438" t="str">
        <f t="shared" ref="BF12:BF18" si="1">IF(T12="","",T12)</f>
        <v/>
      </c>
      <c r="BG12" s="438"/>
      <c r="BH12" s="438"/>
      <c r="BI12" s="1076">
        <v>0</v>
      </c>
    </row>
    <row r="13" spans="1:61" ht="11.25" hidden="1" customHeight="1">
      <c r="A13" s="1284"/>
      <c r="B13" s="1284"/>
      <c r="C13" s="1284"/>
      <c r="D13" s="1284"/>
      <c r="E13" s="5470"/>
      <c r="F13" s="5470"/>
      <c r="G13" s="5470"/>
      <c r="H13" s="5470"/>
      <c r="I13" s="5472"/>
      <c r="J13" s="5471"/>
      <c r="K13" s="1284"/>
      <c r="L13" s="1285"/>
      <c r="P13" s="5473"/>
      <c r="Q13" s="5473"/>
      <c r="R13" s="294"/>
      <c r="S13" s="1199"/>
      <c r="T13" s="225" t="s">
        <v>558</v>
      </c>
      <c r="U13" s="305"/>
      <c r="V13" s="305"/>
      <c r="W13" s="305"/>
      <c r="X13" s="305"/>
      <c r="Y13" s="305"/>
      <c r="Z13" s="305"/>
      <c r="AA13" s="305"/>
      <c r="AB13" s="305"/>
      <c r="AC13" s="305"/>
      <c r="AD13" s="1426"/>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5494"/>
      <c r="BE13" s="438"/>
      <c r="BF13" s="438" t="str">
        <f t="shared" si="1"/>
        <v>Добавить строку</v>
      </c>
      <c r="BG13" s="438"/>
      <c r="BH13" s="438"/>
      <c r="BI13" s="1076">
        <v>0</v>
      </c>
    </row>
    <row r="14" spans="1:61" s="4275" customFormat="1" ht="14.25" hidden="1" customHeight="1">
      <c r="A14" s="1264"/>
      <c r="B14" s="1264"/>
      <c r="C14" s="1264"/>
      <c r="D14" s="1264"/>
      <c r="E14" s="5470"/>
      <c r="F14" s="5470"/>
      <c r="G14" s="5470"/>
      <c r="H14" s="5470"/>
      <c r="I14" s="5471"/>
      <c r="J14" s="1264"/>
      <c r="K14" s="1264"/>
      <c r="L14" s="1267"/>
      <c r="M14" s="448"/>
      <c r="N14" s="448"/>
      <c r="O14" s="448"/>
      <c r="P14" s="5473"/>
      <c r="Q14" s="1402"/>
      <c r="R14" s="294"/>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38"/>
      <c r="BF14" s="438" t="str">
        <f t="shared" si="1"/>
        <v/>
      </c>
      <c r="BG14" s="438"/>
      <c r="BH14" s="438"/>
      <c r="BI14" s="449">
        <v>0</v>
      </c>
    </row>
    <row r="15" spans="1:61" s="4275" customFormat="1" ht="14.25" hidden="1" customHeight="1">
      <c r="A15" s="1264"/>
      <c r="B15" s="1264"/>
      <c r="C15" s="1264"/>
      <c r="D15" s="1264"/>
      <c r="E15" s="5470"/>
      <c r="F15" s="5470"/>
      <c r="G15" s="5470"/>
      <c r="H15" s="5469"/>
      <c r="I15" s="1264"/>
      <c r="J15" s="1264"/>
      <c r="K15" s="1264"/>
      <c r="L15" s="1267"/>
      <c r="M15" s="1236"/>
      <c r="N15" s="1236"/>
      <c r="O15" s="456"/>
      <c r="P15" s="318"/>
      <c r="Q15" s="1265"/>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38"/>
      <c r="BF15" s="438" t="str">
        <f t="shared" si="1"/>
        <v/>
      </c>
      <c r="BG15" s="438"/>
      <c r="BH15" s="438"/>
      <c r="BI15" s="449">
        <v>0</v>
      </c>
    </row>
    <row r="16" spans="1:61" s="4275" customFormat="1" ht="14.25" hidden="1" customHeight="1">
      <c r="A16" s="1264"/>
      <c r="B16" s="1264"/>
      <c r="C16" s="1264"/>
      <c r="D16" s="1235"/>
      <c r="E16" s="5470"/>
      <c r="F16" s="5470"/>
      <c r="G16" s="5469"/>
      <c r="H16" s="1235"/>
      <c r="I16" s="1235"/>
      <c r="J16" s="1235"/>
      <c r="K16" s="1235"/>
      <c r="L16" s="1415"/>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21"/>
      <c r="BF16" s="721" t="str">
        <f t="shared" si="1"/>
        <v/>
      </c>
      <c r="BG16" s="721"/>
      <c r="BH16" s="721"/>
      <c r="BI16" s="456">
        <v>0</v>
      </c>
    </row>
    <row r="17" spans="1:61" s="4275" customFormat="1" ht="14.25" hidden="1" customHeight="1">
      <c r="A17" s="1264"/>
      <c r="B17" s="1264"/>
      <c r="C17" s="1235"/>
      <c r="D17" s="1235"/>
      <c r="E17" s="5470"/>
      <c r="F17" s="5469"/>
      <c r="G17" s="1235"/>
      <c r="H17" s="1235"/>
      <c r="I17" s="1235"/>
      <c r="J17" s="1235"/>
      <c r="K17" s="1235"/>
      <c r="L17" s="1415"/>
      <c r="M17" s="1242"/>
      <c r="N17" s="1242"/>
      <c r="P17" s="1237"/>
      <c r="Q17" s="1238"/>
      <c r="R17" s="1237"/>
      <c r="S17" s="1243"/>
      <c r="T17" s="1246" t="s">
        <v>312</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21"/>
      <c r="BF17" s="721" t="str">
        <f t="shared" si="1"/>
        <v>Добавить централизованную систему для дифференциации</v>
      </c>
      <c r="BG17" s="721"/>
      <c r="BH17" s="721"/>
      <c r="BI17" s="456">
        <v>0</v>
      </c>
    </row>
    <row r="18" spans="1:61" s="4275" customFormat="1" ht="14.25" hidden="1" customHeight="1">
      <c r="A18" s="1264"/>
      <c r="B18" s="1264"/>
      <c r="C18" s="1264"/>
      <c r="D18" s="1264"/>
      <c r="E18" s="5469"/>
      <c r="F18" s="1264"/>
      <c r="G18" s="1264"/>
      <c r="H18" s="1264"/>
      <c r="I18" s="1264"/>
      <c r="J18" s="1264"/>
      <c r="K18" s="1264"/>
      <c r="L18" s="1267"/>
      <c r="M18" s="1242"/>
      <c r="N18" s="1242"/>
      <c r="O18" s="456"/>
      <c r="P18" s="318"/>
      <c r="Q18" s="1265"/>
      <c r="R18" s="318"/>
      <c r="S18" s="1243"/>
      <c r="T18" s="1246" t="s">
        <v>360</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38"/>
      <c r="BF18" s="438" t="str">
        <f t="shared" si="1"/>
        <v>Добавить территорию для дифференциации</v>
      </c>
      <c r="BG18" s="438"/>
      <c r="BH18" s="438"/>
      <c r="BI18" s="449">
        <v>0</v>
      </c>
    </row>
    <row r="19" spans="1:61" ht="14.25" hidden="1" customHeight="1">
      <c r="AC19" s="265"/>
      <c r="BA19" s="265"/>
      <c r="BI19" s="1076">
        <v>0</v>
      </c>
    </row>
    <row r="20" spans="1:61" ht="14.25" hidden="1" customHeight="1">
      <c r="AD20" s="1245" t="s">
        <v>19</v>
      </c>
      <c r="AE20" s="1422"/>
      <c r="AF20" s="486">
        <v>1</v>
      </c>
      <c r="AG20" s="1423"/>
      <c r="AH20" s="1245" t="s">
        <v>19</v>
      </c>
      <c r="AI20" s="1422"/>
      <c r="AJ20" s="486">
        <v>1</v>
      </c>
      <c r="AK20" s="1423"/>
      <c r="AL20" s="1245" t="s">
        <v>19</v>
      </c>
      <c r="AM20" s="1424"/>
      <c r="AN20" s="486">
        <v>1</v>
      </c>
      <c r="AO20" s="1425"/>
      <c r="AP20" s="1245" t="s">
        <v>19</v>
      </c>
      <c r="AQ20" s="1424"/>
      <c r="AR20" s="486">
        <v>1</v>
      </c>
      <c r="AS20" s="1425"/>
      <c r="AT20" s="263"/>
      <c r="AU20" s="322"/>
      <c r="AV20" s="263"/>
      <c r="AW20" s="322"/>
      <c r="AX20" s="1656"/>
      <c r="AY20" s="1406" t="s">
        <v>66</v>
      </c>
      <c r="AZ20" s="1656"/>
      <c r="BA20" s="1406" t="s">
        <v>66</v>
      </c>
      <c r="BI20" s="1076">
        <v>0</v>
      </c>
    </row>
    <row r="21" spans="1:61" ht="14.25" hidden="1" customHeight="1">
      <c r="BD21" s="434"/>
      <c r="BE21" s="434"/>
      <c r="BF21" s="434"/>
      <c r="BG21" s="434"/>
      <c r="BH21" s="434"/>
      <c r="BI21" s="1076">
        <v>0</v>
      </c>
    </row>
    <row r="22" spans="1:61" ht="14.25" hidden="1" customHeight="1">
      <c r="O22" s="1288" t="s">
        <v>508</v>
      </c>
      <c r="Z22" s="1266"/>
      <c r="AB22" s="1266"/>
      <c r="AC22" s="265"/>
      <c r="AX22" s="1266"/>
      <c r="AZ22" s="1266"/>
      <c r="BA22" s="265"/>
      <c r="BD22" s="434"/>
      <c r="BE22" s="434"/>
      <c r="BF22" s="434"/>
      <c r="BG22" s="434"/>
      <c r="BH22" s="434"/>
      <c r="BI22" s="1076">
        <v>0</v>
      </c>
    </row>
    <row r="23" spans="1:61" ht="14.25" hidden="1" customHeight="1">
      <c r="AC23" s="265"/>
      <c r="BA23" s="265"/>
      <c r="BD23" s="434"/>
      <c r="BE23" s="434"/>
      <c r="BF23" s="434"/>
      <c r="BG23" s="434"/>
      <c r="BH23" s="434"/>
      <c r="BI23" s="1076">
        <v>0</v>
      </c>
    </row>
    <row r="24" spans="1:61" s="4305" customFormat="1" ht="14.25" hidden="1" customHeight="1">
      <c r="M24" s="1429"/>
      <c r="N24" s="1429"/>
      <c r="O24" s="1430" t="s">
        <v>509</v>
      </c>
      <c r="P24" s="1429"/>
      <c r="Q24" s="1431"/>
      <c r="R24" s="1431"/>
      <c r="AA24" s="1428" t="s">
        <v>511</v>
      </c>
      <c r="AC24" s="1428" t="s">
        <v>512</v>
      </c>
      <c r="AD24" s="1428" t="s">
        <v>559</v>
      </c>
      <c r="AH24" s="1428" t="s">
        <v>559</v>
      </c>
      <c r="AK24" s="1428" t="s">
        <v>596</v>
      </c>
      <c r="AL24" s="1428" t="s">
        <v>559</v>
      </c>
      <c r="AP24" s="1428" t="s">
        <v>559</v>
      </c>
      <c r="AY24" s="1428" t="s">
        <v>511</v>
      </c>
      <c r="BA24" s="1428" t="s">
        <v>512</v>
      </c>
      <c r="BD24" s="1432"/>
      <c r="BE24" s="1432"/>
      <c r="BF24" s="1432"/>
      <c r="BG24" s="1432"/>
      <c r="BH24" s="1432"/>
      <c r="BI24" s="1428">
        <v>0</v>
      </c>
    </row>
    <row r="25" spans="1:61" ht="14.25" hidden="1" customHeight="1">
      <c r="O25" s="1285"/>
      <c r="BD25" s="434"/>
      <c r="BE25" s="434"/>
      <c r="BF25" s="434"/>
      <c r="BG25" s="434"/>
      <c r="BH25" s="434"/>
      <c r="BI25" s="1076">
        <v>0</v>
      </c>
    </row>
    <row r="26" spans="1:61" ht="14.25" hidden="1" customHeight="1">
      <c r="O26" s="1285"/>
      <c r="BD26" s="434"/>
      <c r="BE26" s="434"/>
      <c r="BF26" s="434"/>
      <c r="BG26" s="434"/>
      <c r="BH26" s="434"/>
      <c r="BI26" s="1076">
        <v>0</v>
      </c>
    </row>
    <row r="27" spans="1:61" ht="14.65" customHeight="1">
      <c r="Q27" s="229"/>
      <c r="R27" s="314"/>
      <c r="S27" s="1196"/>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76">
        <v>14</v>
      </c>
    </row>
    <row r="28" spans="1:61" ht="14.65" customHeight="1">
      <c r="Q28" s="229"/>
      <c r="R28" s="314"/>
      <c r="S28" s="545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5450"/>
      <c r="U28" s="5450"/>
      <c r="V28" s="5450"/>
      <c r="W28" s="5450"/>
      <c r="X28" s="5450"/>
      <c r="Y28" s="5450"/>
      <c r="Z28" s="5450"/>
      <c r="AA28" s="5450"/>
      <c r="AB28" s="5450"/>
      <c r="AC28" s="5450"/>
      <c r="AD28" s="5450"/>
      <c r="AE28" s="5450"/>
      <c r="AF28" s="5450"/>
      <c r="AG28" s="5450"/>
      <c r="AH28" s="5450"/>
      <c r="AI28" s="5450"/>
      <c r="AJ28" s="5450"/>
      <c r="AK28" s="5450"/>
      <c r="AL28" s="5450"/>
      <c r="AM28" s="5450"/>
      <c r="AN28" s="5450"/>
      <c r="AO28" s="5450"/>
      <c r="AP28" s="5450"/>
      <c r="AQ28" s="5450"/>
      <c r="AR28" s="5450"/>
      <c r="AS28" s="5450"/>
      <c r="AT28" s="5450"/>
      <c r="AU28" s="5450"/>
      <c r="AV28" s="5450"/>
      <c r="AW28" s="5450"/>
      <c r="AX28" s="5450"/>
      <c r="AY28" s="5450"/>
      <c r="AZ28" s="5450"/>
      <c r="BA28" s="1164"/>
      <c r="BI28" s="1076">
        <v>14</v>
      </c>
    </row>
    <row r="29" spans="1:61" ht="14.65" customHeight="1">
      <c r="Q29" s="229"/>
      <c r="R29" s="314"/>
      <c r="S29" s="5423" t="str">
        <f>IF(org=0,"Не определено",org)</f>
        <v>КГУП "Примтеплоэнерго"</v>
      </c>
      <c r="T29" s="5423"/>
      <c r="U29" s="5423"/>
      <c r="V29" s="5423"/>
      <c r="W29" s="5423"/>
      <c r="X29" s="5423"/>
      <c r="Y29" s="5423"/>
      <c r="Z29" s="5423"/>
      <c r="AA29" s="5423"/>
      <c r="AB29" s="5423"/>
      <c r="AC29" s="5423"/>
      <c r="AD29" s="5423"/>
      <c r="AE29" s="5423"/>
      <c r="AF29" s="5423"/>
      <c r="AG29" s="5423"/>
      <c r="AH29" s="5423"/>
      <c r="AI29" s="5423"/>
      <c r="AJ29" s="5423"/>
      <c r="AK29" s="5423"/>
      <c r="AL29" s="5423"/>
      <c r="AM29" s="5423"/>
      <c r="AN29" s="5423"/>
      <c r="AO29" s="5423"/>
      <c r="AP29" s="5423"/>
      <c r="AQ29" s="5423"/>
      <c r="AR29" s="5423"/>
      <c r="AS29" s="5423"/>
      <c r="AT29" s="5423"/>
      <c r="AU29" s="5423"/>
      <c r="AV29" s="5423"/>
      <c r="AW29" s="5423"/>
      <c r="AX29" s="5423"/>
      <c r="AY29" s="5423"/>
      <c r="AZ29" s="5423"/>
      <c r="BA29" s="1164"/>
      <c r="BI29" s="1076">
        <v>14</v>
      </c>
    </row>
    <row r="30" spans="1:61" ht="14.25" hidden="1" customHeight="1">
      <c r="Q30" s="229"/>
      <c r="R30" s="314"/>
      <c r="S30" s="1196"/>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76">
        <v>0</v>
      </c>
    </row>
    <row r="31" spans="1:61" s="4284" customFormat="1" ht="25.5" hidden="1" customHeight="1">
      <c r="A31" s="1289"/>
      <c r="B31" s="1289"/>
      <c r="C31" s="1289"/>
      <c r="D31" s="1289"/>
      <c r="E31" s="1289"/>
      <c r="F31" s="1289"/>
      <c r="G31" s="1289"/>
      <c r="H31" s="1289"/>
      <c r="I31" s="1289"/>
      <c r="J31" s="1289"/>
      <c r="K31" s="1289"/>
      <c r="L31" s="1290"/>
      <c r="M31" s="1289"/>
      <c r="N31" s="1289"/>
      <c r="O31" s="1289"/>
      <c r="P31" s="1289"/>
      <c r="Q31" s="1289"/>
      <c r="S31" s="5460" t="s">
        <v>42</v>
      </c>
      <c r="T31" s="5460"/>
      <c r="U31" s="1293"/>
      <c r="V31" s="5462" t="str">
        <f>IF(TITLE_NAME_OR_PR_CHANGE="",IF(TITLE_NAME_OR_PR="","",TITLE_NAME_OR_PR),TITLE_NAME_OR_PR_CHANGE)</f>
        <v/>
      </c>
      <c r="W31" s="5462"/>
      <c r="X31" s="5462"/>
      <c r="Y31" s="5462"/>
      <c r="Z31" s="5462"/>
      <c r="AA31" s="5462"/>
      <c r="AB31" s="5462"/>
      <c r="AC31" s="264"/>
      <c r="AD31" s="5462" t="str">
        <f>IF(TITLE_NAME_OR_PR_CHANGE="",IF(TITLE_NAME_OR_PR="","",TITLE_NAME_OR_PR),TITLE_NAME_OR_PR_CHANGE)</f>
        <v/>
      </c>
      <c r="AE31" s="5462"/>
      <c r="AF31" s="5462"/>
      <c r="AG31" s="5462"/>
      <c r="AH31" s="5462"/>
      <c r="AI31" s="5462"/>
      <c r="AJ31" s="5462"/>
      <c r="AK31" s="5462"/>
      <c r="AL31" s="5462"/>
      <c r="AM31" s="5462"/>
      <c r="AN31" s="5462"/>
      <c r="AO31" s="5462"/>
      <c r="AP31" s="5462"/>
      <c r="AQ31" s="5462"/>
      <c r="AR31" s="5462"/>
      <c r="AS31" s="5462"/>
      <c r="AT31" s="5462"/>
      <c r="AU31" s="5462"/>
      <c r="AV31" s="5462"/>
      <c r="AW31" s="5462"/>
      <c r="AX31" s="5462"/>
      <c r="AY31" s="5462"/>
      <c r="AZ31" s="5462"/>
      <c r="BA31" s="264"/>
      <c r="BB31" s="264"/>
      <c r="BC31" s="218"/>
      <c r="BD31" s="306"/>
      <c r="BE31" s="306"/>
      <c r="BF31" s="306"/>
      <c r="BG31" s="306"/>
      <c r="BH31" s="306"/>
      <c r="BI31" s="356">
        <v>0</v>
      </c>
    </row>
    <row r="32" spans="1:61" s="4284" customFormat="1" ht="18.75" hidden="1" customHeight="1">
      <c r="A32" s="1289"/>
      <c r="B32" s="1289"/>
      <c r="C32" s="1289"/>
      <c r="D32" s="1289"/>
      <c r="E32" s="1289"/>
      <c r="F32" s="1289"/>
      <c r="G32" s="1289"/>
      <c r="H32" s="1289"/>
      <c r="I32" s="1289"/>
      <c r="J32" s="1289"/>
      <c r="K32" s="1289"/>
      <c r="L32" s="1290"/>
      <c r="M32" s="1289"/>
      <c r="N32" s="1289"/>
      <c r="O32" s="1289"/>
      <c r="P32" s="1289"/>
      <c r="Q32" s="1289"/>
      <c r="S32" s="5460" t="s">
        <v>514</v>
      </c>
      <c r="T32" s="5460"/>
      <c r="U32" s="1293"/>
      <c r="V32" s="5461">
        <f>IF(TITLE_DATE_PR_CHANGE="",IF(TITLE_DATE_PR="","",TITLE_DATE_PR),TITLE_DATE_PR_CHANGE)</f>
        <v>45649.605891203704</v>
      </c>
      <c r="W32" s="5461"/>
      <c r="X32" s="5461"/>
      <c r="Y32" s="5461"/>
      <c r="Z32" s="5461"/>
      <c r="AA32" s="5461"/>
      <c r="AB32" s="5461"/>
      <c r="AC32" s="264"/>
      <c r="AD32" s="5461">
        <f>IF(TITLE_DATE_PR_CHANGE="",IF(TITLE_DATE_PR="","",TITLE_DATE_PR),TITLE_DATE_PR_CHANGE)</f>
        <v>45649.605891203704</v>
      </c>
      <c r="AE32" s="5461"/>
      <c r="AF32" s="5461"/>
      <c r="AG32" s="5461"/>
      <c r="AH32" s="5461"/>
      <c r="AI32" s="5461"/>
      <c r="AJ32" s="5461"/>
      <c r="AK32" s="5461"/>
      <c r="AL32" s="5461"/>
      <c r="AM32" s="5461"/>
      <c r="AN32" s="5461"/>
      <c r="AO32" s="5461"/>
      <c r="AP32" s="5461"/>
      <c r="AQ32" s="5461"/>
      <c r="AR32" s="5461"/>
      <c r="AS32" s="5461"/>
      <c r="AT32" s="5461"/>
      <c r="AU32" s="5461"/>
      <c r="AV32" s="5461"/>
      <c r="AW32" s="5461"/>
      <c r="AX32" s="5461"/>
      <c r="AY32" s="5461"/>
      <c r="AZ32" s="5461"/>
      <c r="BA32" s="264"/>
      <c r="BB32" s="264"/>
      <c r="BC32" s="218"/>
      <c r="BD32" s="306"/>
      <c r="BE32" s="306"/>
      <c r="BF32" s="306"/>
      <c r="BG32" s="306"/>
      <c r="BH32" s="306"/>
      <c r="BI32" s="356">
        <v>0</v>
      </c>
    </row>
    <row r="33" spans="1:61" s="4284" customFormat="1" ht="18.75" hidden="1" customHeight="1">
      <c r="A33" s="1289"/>
      <c r="B33" s="1289"/>
      <c r="C33" s="1289"/>
      <c r="D33" s="1289"/>
      <c r="E33" s="1289"/>
      <c r="F33" s="1289"/>
      <c r="G33" s="1289"/>
      <c r="H33" s="1289"/>
      <c r="I33" s="1289"/>
      <c r="J33" s="1289"/>
      <c r="K33" s="1289"/>
      <c r="L33" s="1290"/>
      <c r="M33" s="1289"/>
      <c r="N33" s="1289"/>
      <c r="O33" s="1289"/>
      <c r="P33" s="1289"/>
      <c r="Q33" s="1289"/>
      <c r="S33" s="5460" t="s">
        <v>515</v>
      </c>
      <c r="T33" s="5460"/>
      <c r="U33" s="1293"/>
      <c r="V33" s="5462" t="str">
        <f>IF(TITLE_NUMBER_PR_CHANGE="",IF(TITLE_NUMBER_PR="","",TITLE_NUMBER_PR),TITLE_NUMBER_PR_CHANGE)</f>
        <v>27-6414</v>
      </c>
      <c r="W33" s="5462"/>
      <c r="X33" s="5462"/>
      <c r="Y33" s="5462"/>
      <c r="Z33" s="5462"/>
      <c r="AA33" s="5462"/>
      <c r="AB33" s="5462"/>
      <c r="AC33" s="264"/>
      <c r="AD33" s="5462" t="str">
        <f>IF(TITLE_NUMBER_PR_CHANGE="",IF(TITLE_NUMBER_PR="","",TITLE_NUMBER_PR),TITLE_NUMBER_PR_CHANGE)</f>
        <v>27-6414</v>
      </c>
      <c r="AE33" s="5462"/>
      <c r="AF33" s="5462"/>
      <c r="AG33" s="5462"/>
      <c r="AH33" s="5462"/>
      <c r="AI33" s="5462"/>
      <c r="AJ33" s="5462"/>
      <c r="AK33" s="5462"/>
      <c r="AL33" s="5462"/>
      <c r="AM33" s="5462"/>
      <c r="AN33" s="5462"/>
      <c r="AO33" s="5462"/>
      <c r="AP33" s="5462"/>
      <c r="AQ33" s="5462"/>
      <c r="AR33" s="5462"/>
      <c r="AS33" s="5462"/>
      <c r="AT33" s="5462"/>
      <c r="AU33" s="5462"/>
      <c r="AV33" s="5462"/>
      <c r="AW33" s="5462"/>
      <c r="AX33" s="5462"/>
      <c r="AY33" s="5462"/>
      <c r="AZ33" s="5462"/>
      <c r="BA33" s="264"/>
      <c r="BB33" s="264"/>
      <c r="BC33" s="218"/>
      <c r="BD33" s="306"/>
      <c r="BE33" s="306"/>
      <c r="BF33" s="306"/>
      <c r="BG33" s="306"/>
      <c r="BH33" s="306"/>
      <c r="BI33" s="356">
        <v>0</v>
      </c>
    </row>
    <row r="34" spans="1:61" s="4284" customFormat="1" ht="18.75" hidden="1" customHeight="1">
      <c r="A34" s="1289"/>
      <c r="B34" s="1289"/>
      <c r="C34" s="1289"/>
      <c r="D34" s="1289"/>
      <c r="E34" s="1289"/>
      <c r="F34" s="1289"/>
      <c r="G34" s="1289"/>
      <c r="H34" s="1289"/>
      <c r="I34" s="1289"/>
      <c r="J34" s="1289"/>
      <c r="K34" s="1289"/>
      <c r="L34" s="1290"/>
      <c r="M34" s="1289"/>
      <c r="N34" s="1289"/>
      <c r="O34" s="1289"/>
      <c r="P34" s="1289"/>
      <c r="Q34" s="1289"/>
      <c r="S34" s="5460" t="s">
        <v>43</v>
      </c>
      <c r="T34" s="5460"/>
      <c r="U34" s="1293"/>
      <c r="V34" s="5462" t="str">
        <f>IF(TITLE_IST_PUB_CHANGE="",IF(TITLE_IST_PUB="","",TITLE_IST_PUB),TITLE_IST_PUB_CHANGE)</f>
        <v/>
      </c>
      <c r="W34" s="5462"/>
      <c r="X34" s="5462"/>
      <c r="Y34" s="5462"/>
      <c r="Z34" s="5462"/>
      <c r="AA34" s="5462"/>
      <c r="AB34" s="5462"/>
      <c r="AC34" s="264"/>
      <c r="AD34" s="5462" t="str">
        <f>IF(TITLE_IST_PUB_CHANGE="",IF(TITLE_IST_PUB="","",TITLE_IST_PUB),TITLE_IST_PUB_CHANGE)</f>
        <v/>
      </c>
      <c r="AE34" s="5462"/>
      <c r="AF34" s="5462"/>
      <c r="AG34" s="5462"/>
      <c r="AH34" s="5462"/>
      <c r="AI34" s="5462"/>
      <c r="AJ34" s="5462"/>
      <c r="AK34" s="5462"/>
      <c r="AL34" s="5462"/>
      <c r="AM34" s="5462"/>
      <c r="AN34" s="5462"/>
      <c r="AO34" s="5462"/>
      <c r="AP34" s="5462"/>
      <c r="AQ34" s="5462"/>
      <c r="AR34" s="5462"/>
      <c r="AS34" s="5462"/>
      <c r="AT34" s="5462"/>
      <c r="AU34" s="5462"/>
      <c r="AV34" s="5462"/>
      <c r="AW34" s="5462"/>
      <c r="AX34" s="5462"/>
      <c r="AY34" s="5462"/>
      <c r="AZ34" s="5462"/>
      <c r="BA34" s="264"/>
      <c r="BB34" s="264"/>
      <c r="BC34" s="218"/>
      <c r="BD34" s="306"/>
      <c r="BE34" s="306"/>
      <c r="BF34" s="306"/>
      <c r="BG34" s="306"/>
      <c r="BH34" s="306"/>
      <c r="BI34" s="356">
        <v>0</v>
      </c>
    </row>
    <row r="35" spans="1:61" ht="14.25" customHeight="1">
      <c r="Q35" s="229"/>
      <c r="R35" s="314"/>
      <c r="S35" s="1196"/>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76">
        <v>0</v>
      </c>
    </row>
    <row r="36" spans="1:61" s="4284" customFormat="1" ht="18.75" customHeight="1">
      <c r="A36" s="1289"/>
      <c r="B36" s="1289"/>
      <c r="C36" s="1289"/>
      <c r="D36" s="1289"/>
      <c r="E36" s="1289"/>
      <c r="F36" s="1289"/>
      <c r="G36" s="1289"/>
      <c r="H36" s="1289"/>
      <c r="I36" s="1289"/>
      <c r="J36" s="1289"/>
      <c r="K36" s="1289"/>
      <c r="L36" s="1290"/>
      <c r="M36" s="1289"/>
      <c r="N36" s="1289"/>
      <c r="O36" s="1289"/>
      <c r="P36" s="1289"/>
      <c r="Q36" s="1289"/>
      <c r="S36" s="5460" t="s">
        <v>514</v>
      </c>
      <c r="T36" s="5460"/>
      <c r="U36" s="1293"/>
      <c r="V36" s="5461">
        <f>IF(TITLE_DATE_PR_CHANGE="",IF(TITLE_DATE_PR="","",TITLE_DATE_PR),TITLE_DATE_PR_CHANGE)</f>
        <v>45649.605891203704</v>
      </c>
      <c r="W36" s="5461"/>
      <c r="X36" s="5461"/>
      <c r="Y36" s="5461"/>
      <c r="Z36" s="5461"/>
      <c r="AA36" s="5461"/>
      <c r="AB36" s="5461"/>
      <c r="AC36" s="264"/>
      <c r="AD36" s="5461">
        <f>IF(TITLE_DATE_PR_CHANGE="",IF(TITLE_DATE_PR="","",TITLE_DATE_PR),TITLE_DATE_PR_CHANGE)</f>
        <v>45649.605891203704</v>
      </c>
      <c r="AE36" s="5461"/>
      <c r="AF36" s="5461"/>
      <c r="AG36" s="5461"/>
      <c r="AH36" s="5461"/>
      <c r="AI36" s="5461"/>
      <c r="AJ36" s="5461"/>
      <c r="AK36" s="5461"/>
      <c r="AL36" s="5461"/>
      <c r="AM36" s="5461"/>
      <c r="AN36" s="5461"/>
      <c r="AO36" s="5461"/>
      <c r="AP36" s="5461"/>
      <c r="AQ36" s="5461"/>
      <c r="AR36" s="5461"/>
      <c r="AS36" s="5461"/>
      <c r="AT36" s="5461"/>
      <c r="AU36" s="5461"/>
      <c r="AV36" s="5461"/>
      <c r="AW36" s="5461"/>
      <c r="AX36" s="5461"/>
      <c r="AY36" s="5461"/>
      <c r="AZ36" s="5461"/>
      <c r="BA36" s="264"/>
      <c r="BB36" s="264"/>
      <c r="BC36" s="218"/>
      <c r="BD36" s="306"/>
      <c r="BE36" s="306"/>
      <c r="BF36" s="306"/>
      <c r="BG36" s="306"/>
      <c r="BH36" s="306"/>
      <c r="BI36" s="356">
        <v>0</v>
      </c>
    </row>
    <row r="37" spans="1:61" s="4284" customFormat="1" ht="18.75" customHeight="1">
      <c r="A37" s="1289"/>
      <c r="B37" s="1289"/>
      <c r="C37" s="1289"/>
      <c r="D37" s="1289"/>
      <c r="E37" s="1289"/>
      <c r="F37" s="1289"/>
      <c r="G37" s="1289"/>
      <c r="H37" s="1289"/>
      <c r="I37" s="1289"/>
      <c r="J37" s="1289"/>
      <c r="K37" s="1289"/>
      <c r="L37" s="1290"/>
      <c r="M37" s="1289"/>
      <c r="N37" s="1289"/>
      <c r="O37" s="1289"/>
      <c r="P37" s="1289"/>
      <c r="Q37" s="1289"/>
      <c r="S37" s="5460" t="s">
        <v>515</v>
      </c>
      <c r="T37" s="5460"/>
      <c r="U37" s="1293"/>
      <c r="V37" s="5462" t="str">
        <f>IF(TITLE_NUMBER_PR_CHANGE="",IF(TITLE_NUMBER_PR="","",TITLE_NUMBER_PR),TITLE_NUMBER_PR_CHANGE)</f>
        <v>27-6414</v>
      </c>
      <c r="W37" s="5462"/>
      <c r="X37" s="5462"/>
      <c r="Y37" s="5462"/>
      <c r="Z37" s="5462"/>
      <c r="AA37" s="5462"/>
      <c r="AB37" s="5462"/>
      <c r="AC37" s="264"/>
      <c r="AD37" s="5462" t="str">
        <f>IF(TITLE_NUMBER_PR_CHANGE="",IF(TITLE_NUMBER_PR="","",TITLE_NUMBER_PR),TITLE_NUMBER_PR_CHANGE)</f>
        <v>27-6414</v>
      </c>
      <c r="AE37" s="5462"/>
      <c r="AF37" s="5462"/>
      <c r="AG37" s="5462"/>
      <c r="AH37" s="5462"/>
      <c r="AI37" s="5462"/>
      <c r="AJ37" s="5462"/>
      <c r="AK37" s="5462"/>
      <c r="AL37" s="5462"/>
      <c r="AM37" s="5462"/>
      <c r="AN37" s="5462"/>
      <c r="AO37" s="5462"/>
      <c r="AP37" s="5462"/>
      <c r="AQ37" s="5462"/>
      <c r="AR37" s="5462"/>
      <c r="AS37" s="5462"/>
      <c r="AT37" s="5462"/>
      <c r="AU37" s="5462"/>
      <c r="AV37" s="5462"/>
      <c r="AW37" s="5462"/>
      <c r="AX37" s="5462"/>
      <c r="AY37" s="5462"/>
      <c r="AZ37" s="5462"/>
      <c r="BA37" s="264"/>
      <c r="BB37" s="264"/>
      <c r="BC37" s="218"/>
      <c r="BD37" s="306"/>
      <c r="BE37" s="306"/>
      <c r="BF37" s="306"/>
      <c r="BG37" s="306"/>
      <c r="BH37" s="306"/>
      <c r="BI37" s="356">
        <v>0</v>
      </c>
    </row>
    <row r="38" spans="1:61" s="4284" customFormat="1" ht="0" hidden="1" customHeight="1">
      <c r="A38" s="1289"/>
      <c r="B38" s="1289"/>
      <c r="C38" s="1289"/>
      <c r="D38" s="1289"/>
      <c r="E38" s="1289"/>
      <c r="F38" s="1289"/>
      <c r="G38" s="1289"/>
      <c r="H38" s="1289"/>
      <c r="I38" s="1289"/>
      <c r="J38" s="1289"/>
      <c r="K38" s="1289"/>
      <c r="L38" s="1290"/>
      <c r="M38" s="1289"/>
      <c r="N38" s="1289"/>
      <c r="O38" s="1289"/>
      <c r="P38" s="1289"/>
      <c r="Q38" s="1289"/>
      <c r="S38" s="261"/>
      <c r="T38" s="261"/>
      <c r="U38" s="1409"/>
      <c r="V38" s="264"/>
      <c r="W38" s="264"/>
      <c r="X38" s="264"/>
      <c r="Y38" s="264"/>
      <c r="Z38" s="264"/>
      <c r="AA38" s="264"/>
      <c r="AB38" s="264"/>
      <c r="AC38" s="216" t="s">
        <v>518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518</v>
      </c>
      <c r="BD38" s="306"/>
      <c r="BE38" s="306"/>
      <c r="BF38" s="306"/>
      <c r="BG38" s="306"/>
      <c r="BH38" s="306"/>
      <c r="BI38" s="356">
        <v>0</v>
      </c>
    </row>
    <row r="39" spans="1:61" ht="14.65" customHeight="1">
      <c r="Q39" s="229"/>
      <c r="R39" s="314"/>
      <c r="S39" s="1196"/>
      <c r="T39" s="301"/>
      <c r="U39" s="1165"/>
      <c r="V39" s="5481"/>
      <c r="W39" s="5481"/>
      <c r="X39" s="5481"/>
      <c r="Y39" s="5481"/>
      <c r="Z39" s="5481"/>
      <c r="AA39" s="5481"/>
      <c r="AB39" s="5481"/>
      <c r="AC39" s="5481"/>
      <c r="AD39" s="5481"/>
      <c r="AE39" s="5481"/>
      <c r="AF39" s="5481"/>
      <c r="AG39" s="5481"/>
      <c r="AH39" s="5481"/>
      <c r="AI39" s="5481"/>
      <c r="AJ39" s="5481"/>
      <c r="AK39" s="5481"/>
      <c r="AL39" s="5481"/>
      <c r="AM39" s="5481"/>
      <c r="AN39" s="5481"/>
      <c r="AO39" s="5481"/>
      <c r="AP39" s="5481"/>
      <c r="AQ39" s="5481"/>
      <c r="AR39" s="5481"/>
      <c r="AS39" s="5481"/>
      <c r="AT39" s="5481"/>
      <c r="AU39" s="5481"/>
      <c r="AV39" s="5481"/>
      <c r="AW39" s="5481"/>
      <c r="AX39" s="5481"/>
      <c r="AY39" s="5481"/>
      <c r="AZ39" s="5481"/>
      <c r="BA39" s="5481"/>
      <c r="BI39" s="1076">
        <v>14</v>
      </c>
    </row>
    <row r="40" spans="1:61" ht="14.65" customHeight="1">
      <c r="Q40" s="229"/>
      <c r="R40" s="314"/>
      <c r="S40" s="5328" t="s">
        <v>393</v>
      </c>
      <c r="T40" s="5328"/>
      <c r="U40" s="5328"/>
      <c r="V40" s="5328"/>
      <c r="W40" s="5328"/>
      <c r="X40" s="5328"/>
      <c r="Y40" s="5328"/>
      <c r="Z40" s="5328"/>
      <c r="AA40" s="5328"/>
      <c r="AB40" s="5328"/>
      <c r="AC40" s="5328"/>
      <c r="AD40" s="5328"/>
      <c r="AE40" s="5328"/>
      <c r="AF40" s="5328"/>
      <c r="AG40" s="5328"/>
      <c r="AH40" s="5328"/>
      <c r="AI40" s="5328"/>
      <c r="AJ40" s="5328"/>
      <c r="AK40" s="5328"/>
      <c r="AL40" s="5328"/>
      <c r="AM40" s="5328"/>
      <c r="AN40" s="5328"/>
      <c r="AO40" s="5328"/>
      <c r="AP40" s="5328"/>
      <c r="AQ40" s="5328"/>
      <c r="AR40" s="5328"/>
      <c r="AS40" s="5328"/>
      <c r="AT40" s="5328"/>
      <c r="AU40" s="5328"/>
      <c r="AV40" s="5328"/>
      <c r="AW40" s="5328"/>
      <c r="AX40" s="5328"/>
      <c r="AY40" s="5328"/>
      <c r="AZ40" s="5328"/>
      <c r="BA40" s="5328"/>
      <c r="BB40" s="5328"/>
      <c r="BC40" s="5328" t="s">
        <v>394</v>
      </c>
      <c r="BI40" s="1076">
        <v>14</v>
      </c>
    </row>
    <row r="41" spans="1:61" ht="14.65" customHeight="1">
      <c r="Q41" s="229"/>
      <c r="R41" s="314"/>
      <c r="S41" s="5482" t="s">
        <v>88</v>
      </c>
      <c r="T41" s="5431" t="s">
        <v>597</v>
      </c>
      <c r="U41" s="239"/>
      <c r="V41" s="5483" t="s">
        <v>520</v>
      </c>
      <c r="W41" s="5484"/>
      <c r="X41" s="5484"/>
      <c r="Y41" s="5484"/>
      <c r="Z41" s="5484"/>
      <c r="AA41" s="5484"/>
      <c r="AB41" s="5485"/>
      <c r="AC41" s="5486" t="s">
        <v>521</v>
      </c>
      <c r="AD41" s="5515" t="s">
        <v>598</v>
      </c>
      <c r="AE41" s="5499"/>
      <c r="AF41" s="5499"/>
      <c r="AG41" s="5516"/>
      <c r="AH41" s="5515" t="s">
        <v>599</v>
      </c>
      <c r="AI41" s="5499"/>
      <c r="AJ41" s="5499"/>
      <c r="AK41" s="5516"/>
      <c r="AL41" s="5515" t="s">
        <v>600</v>
      </c>
      <c r="AM41" s="5499"/>
      <c r="AN41" s="5499"/>
      <c r="AO41" s="5516"/>
      <c r="AP41" s="5515" t="s">
        <v>601</v>
      </c>
      <c r="AQ41" s="5499"/>
      <c r="AR41" s="5499"/>
      <c r="AS41" s="5516"/>
      <c r="AT41" s="5483" t="s">
        <v>520</v>
      </c>
      <c r="AU41" s="5484"/>
      <c r="AV41" s="5484"/>
      <c r="AW41" s="5484"/>
      <c r="AX41" s="5484"/>
      <c r="AY41" s="5484"/>
      <c r="AZ41" s="5485"/>
      <c r="BA41" s="5486" t="s">
        <v>521</v>
      </c>
      <c r="BB41" s="5489" t="s">
        <v>523</v>
      </c>
      <c r="BC41" s="5328"/>
      <c r="BI41" s="1076">
        <v>14</v>
      </c>
    </row>
    <row r="42" spans="1:61" ht="35.65" customHeight="1">
      <c r="Q42" s="229"/>
      <c r="R42" s="314"/>
      <c r="S42" s="5482"/>
      <c r="T42" s="5431"/>
      <c r="U42" s="956"/>
      <c r="V42" s="5404" t="s">
        <v>602</v>
      </c>
      <c r="W42" s="5405"/>
      <c r="X42" s="5404" t="s">
        <v>603</v>
      </c>
      <c r="Y42" s="5405"/>
      <c r="Z42" s="5404" t="s">
        <v>604</v>
      </c>
      <c r="AA42" s="5511"/>
      <c r="AB42" s="5405"/>
      <c r="AC42" s="5487"/>
      <c r="AD42" s="5517"/>
      <c r="AE42" s="5518"/>
      <c r="AF42" s="5518"/>
      <c r="AG42" s="5530"/>
      <c r="AH42" s="5517"/>
      <c r="AI42" s="5518"/>
      <c r="AJ42" s="5518"/>
      <c r="AK42" s="5530"/>
      <c r="AL42" s="5517"/>
      <c r="AM42" s="5518"/>
      <c r="AN42" s="5518"/>
      <c r="AO42" s="5530"/>
      <c r="AP42" s="5517"/>
      <c r="AQ42" s="5518"/>
      <c r="AR42" s="5518"/>
      <c r="AS42" s="5530"/>
      <c r="AT42" s="5404" t="s">
        <v>602</v>
      </c>
      <c r="AU42" s="5405"/>
      <c r="AV42" s="5404" t="s">
        <v>603</v>
      </c>
      <c r="AW42" s="5405"/>
      <c r="AX42" s="5404" t="s">
        <v>604</v>
      </c>
      <c r="AY42" s="5511"/>
      <c r="AZ42" s="5405"/>
      <c r="BA42" s="5487"/>
      <c r="BB42" s="5490"/>
      <c r="BC42" s="5328"/>
      <c r="BI42" s="1076">
        <v>34</v>
      </c>
    </row>
    <row r="43" spans="1:61" ht="14.65" customHeight="1">
      <c r="Q43" s="229"/>
      <c r="R43" s="314"/>
      <c r="S43" s="5482"/>
      <c r="T43" s="5431"/>
      <c r="U43" s="956"/>
      <c r="V43" s="5409"/>
      <c r="W43" s="5410"/>
      <c r="X43" s="5409"/>
      <c r="Y43" s="5410"/>
      <c r="Z43" s="5409"/>
      <c r="AA43" s="5512"/>
      <c r="AB43" s="5410"/>
      <c r="AC43" s="5487"/>
      <c r="AD43" s="5517"/>
      <c r="AE43" s="5518"/>
      <c r="AF43" s="5518"/>
      <c r="AG43" s="5530"/>
      <c r="AH43" s="5517"/>
      <c r="AI43" s="5518"/>
      <c r="AJ43" s="5518"/>
      <c r="AK43" s="5530"/>
      <c r="AL43" s="5517"/>
      <c r="AM43" s="5518"/>
      <c r="AN43" s="5518"/>
      <c r="AO43" s="5530"/>
      <c r="AP43" s="5517"/>
      <c r="AQ43" s="5518"/>
      <c r="AR43" s="5518"/>
      <c r="AS43" s="5530"/>
      <c r="AT43" s="5409"/>
      <c r="AU43" s="5410"/>
      <c r="AV43" s="5409"/>
      <c r="AW43" s="5410"/>
      <c r="AX43" s="5409"/>
      <c r="AY43" s="5512"/>
      <c r="AZ43" s="5410"/>
      <c r="BA43" s="5487"/>
      <c r="BB43" s="5490"/>
      <c r="BC43" s="5328"/>
      <c r="BI43" s="1076">
        <v>14</v>
      </c>
    </row>
    <row r="44" spans="1:61" ht="14.65" customHeight="1">
      <c r="A44" s="1291"/>
      <c r="B44" s="1291" t="s">
        <v>167</v>
      </c>
      <c r="C44" s="1291" t="s">
        <v>168</v>
      </c>
      <c r="D44" s="1291" t="s">
        <v>169</v>
      </c>
      <c r="E44" s="1285" t="s">
        <v>528</v>
      </c>
      <c r="F44" s="1285" t="s">
        <v>529</v>
      </c>
      <c r="G44" s="1285" t="s">
        <v>530</v>
      </c>
      <c r="H44" s="1285" t="s">
        <v>531</v>
      </c>
      <c r="I44" s="1285" t="s">
        <v>532</v>
      </c>
      <c r="J44" s="1285" t="s">
        <v>533</v>
      </c>
      <c r="K44" s="1285" t="s">
        <v>534</v>
      </c>
      <c r="L44" s="1285" t="s">
        <v>509</v>
      </c>
      <c r="Q44" s="229"/>
      <c r="R44" s="314"/>
      <c r="S44" s="5482"/>
      <c r="T44" s="5431"/>
      <c r="U44" s="240"/>
      <c r="V44" s="1400" t="s">
        <v>568</v>
      </c>
      <c r="W44" s="1400" t="s">
        <v>569</v>
      </c>
      <c r="X44" s="1400" t="s">
        <v>568</v>
      </c>
      <c r="Y44" s="1400" t="s">
        <v>569</v>
      </c>
      <c r="Z44" s="1410" t="s">
        <v>537</v>
      </c>
      <c r="AA44" s="5436" t="s">
        <v>538</v>
      </c>
      <c r="AB44" s="5449"/>
      <c r="AC44" s="5488"/>
      <c r="AD44" s="5519"/>
      <c r="AE44" s="5520"/>
      <c r="AF44" s="5520"/>
      <c r="AG44" s="5521"/>
      <c r="AH44" s="5519"/>
      <c r="AI44" s="5520"/>
      <c r="AJ44" s="5520"/>
      <c r="AK44" s="5521"/>
      <c r="AL44" s="5519"/>
      <c r="AM44" s="5520"/>
      <c r="AN44" s="5520"/>
      <c r="AO44" s="5521"/>
      <c r="AP44" s="5519"/>
      <c r="AQ44" s="5520"/>
      <c r="AR44" s="5520"/>
      <c r="AS44" s="5521"/>
      <c r="AT44" s="1400" t="s">
        <v>568</v>
      </c>
      <c r="AU44" s="1400" t="s">
        <v>569</v>
      </c>
      <c r="AV44" s="1400" t="s">
        <v>568</v>
      </c>
      <c r="AW44" s="1400" t="s">
        <v>569</v>
      </c>
      <c r="AX44" s="1410" t="s">
        <v>537</v>
      </c>
      <c r="AY44" s="5436" t="s">
        <v>538</v>
      </c>
      <c r="AZ44" s="5449"/>
      <c r="BA44" s="5488"/>
      <c r="BB44" s="5491"/>
      <c r="BC44" s="5328"/>
      <c r="BI44" s="1076">
        <v>14</v>
      </c>
    </row>
    <row r="45" spans="1:61" s="4299" customFormat="1" ht="0" hidden="1" customHeight="1">
      <c r="A45" s="1291"/>
      <c r="B45" s="1291"/>
      <c r="C45" s="1291"/>
      <c r="D45" s="1291"/>
      <c r="E45" s="1291"/>
      <c r="F45" s="1291"/>
      <c r="G45" s="1291"/>
      <c r="H45" s="1291"/>
      <c r="I45" s="1291"/>
      <c r="J45" s="1291"/>
      <c r="K45" s="1291"/>
      <c r="L45" s="1285"/>
      <c r="M45" s="1283"/>
      <c r="N45" s="1283"/>
      <c r="O45" s="1283"/>
      <c r="P45" s="448"/>
      <c r="Q45" s="1175"/>
      <c r="R45" s="1175">
        <v>1</v>
      </c>
      <c r="S45" s="1198" t="s">
        <v>136</v>
      </c>
      <c r="T45" s="1176" t="s">
        <v>103</v>
      </c>
      <c r="U45" s="1166" t="str">
        <f ca="1">OFFSET(U45,0,-1)</f>
        <v>2</v>
      </c>
      <c r="V45" s="1403">
        <f t="shared" ref="V45:AA45" ca="1" si="2">OFFSET(V45,0,-1)+1</f>
        <v>3</v>
      </c>
      <c r="W45" s="1403">
        <f t="shared" ca="1" si="2"/>
        <v>4</v>
      </c>
      <c r="X45" s="1403">
        <f t="shared" ca="1" si="2"/>
        <v>5</v>
      </c>
      <c r="Y45" s="1403">
        <f t="shared" ca="1" si="2"/>
        <v>6</v>
      </c>
      <c r="Z45" s="1403">
        <f t="shared" ca="1" si="2"/>
        <v>7</v>
      </c>
      <c r="AA45" s="5480">
        <f t="shared" ca="1" si="2"/>
        <v>8</v>
      </c>
      <c r="AB45" s="5480"/>
      <c r="AC45" s="1403">
        <f ca="1">OFFSET(AC45,0,-2)+1</f>
        <v>9</v>
      </c>
      <c r="AD45" s="1403">
        <f ca="1">OFFSET(AD45,0,-1)+1</f>
        <v>10</v>
      </c>
      <c r="AE45" s="1403"/>
      <c r="AF45" s="1403"/>
      <c r="AG45" s="1403"/>
      <c r="AH45" s="1403"/>
      <c r="AI45" s="1403"/>
      <c r="AJ45" s="1403"/>
      <c r="AK45" s="1403"/>
      <c r="AL45" s="1403"/>
      <c r="AM45" s="1403"/>
      <c r="AN45" s="1403"/>
      <c r="AO45" s="1403"/>
      <c r="AP45" s="1403"/>
      <c r="AQ45" s="1403"/>
      <c r="AR45" s="1403"/>
      <c r="AS45" s="1403"/>
      <c r="AT45" s="1403"/>
      <c r="AU45" s="1403"/>
      <c r="AV45" s="1403"/>
      <c r="AW45" s="1403">
        <f ca="1">OFFSET(AW45,0,-1)+1</f>
        <v>1</v>
      </c>
      <c r="AX45" s="1403">
        <f ca="1">OFFSET(AX45,0,-1)+1</f>
        <v>2</v>
      </c>
      <c r="AY45" s="5480">
        <f ca="1">OFFSET(AY45,0,-1)+1</f>
        <v>3</v>
      </c>
      <c r="AZ45" s="5480"/>
      <c r="BA45" s="1403">
        <f ca="1">OFFSET(BA45,0,-2)+1</f>
        <v>4</v>
      </c>
      <c r="BB45" s="1166">
        <f ca="1">OFFSET(BB45,0,-1)</f>
        <v>4</v>
      </c>
      <c r="BC45" s="1403">
        <f ca="1">OFFSET(BC45,0,-1)+1</f>
        <v>5</v>
      </c>
      <c r="BD45" s="449"/>
      <c r="BE45" s="449"/>
      <c r="BF45" s="449"/>
      <c r="BG45" s="449"/>
      <c r="BH45" s="449"/>
      <c r="BI45" s="434">
        <v>0</v>
      </c>
    </row>
    <row r="46" spans="1:61" ht="21.95" customHeight="1">
      <c r="A46" s="1284" t="s">
        <v>290</v>
      </c>
      <c r="B46" s="1284"/>
      <c r="C46" s="1284"/>
      <c r="D46" s="1284"/>
      <c r="E46" s="5469">
        <v>1</v>
      </c>
      <c r="F46" s="1284"/>
      <c r="G46" s="1284"/>
      <c r="H46" s="1284"/>
      <c r="I46" s="1284"/>
      <c r="J46" s="1284"/>
      <c r="K46" s="1284"/>
      <c r="L46" s="1285"/>
      <c r="M46" s="1286"/>
      <c r="N46" s="1286"/>
      <c r="O46" s="1286"/>
      <c r="P46" s="1330"/>
      <c r="Q46" s="801"/>
      <c r="R46" s="293"/>
      <c r="S46" s="1414">
        <f>INDEX(PT_DIFFERENTIATION_NUM_NTAR,MATCH(A46,PT_DIFFERENTIATION_NTAR_ID,0))</f>
        <v>0</v>
      </c>
      <c r="T46" s="236" t="s">
        <v>155</v>
      </c>
      <c r="U46" s="238"/>
      <c r="V46" s="5464"/>
      <c r="W46" s="5464"/>
      <c r="X46" s="5464"/>
      <c r="Y46" s="5464"/>
      <c r="Z46" s="5464"/>
      <c r="AA46" s="5464"/>
      <c r="AB46" s="5464"/>
      <c r="AC46" s="5465"/>
      <c r="AD46" s="5463" t="str">
        <f>INDEX(PT_DIFFERENTIATION_NTAR,MATCH(A46,PT_DIFFERENTIATION_NTAR_ID,0))</f>
        <v/>
      </c>
      <c r="AE46" s="5464"/>
      <c r="AF46" s="5464"/>
      <c r="AG46" s="5464"/>
      <c r="AH46" s="5464"/>
      <c r="AI46" s="5464"/>
      <c r="AJ46" s="5464"/>
      <c r="AK46" s="5464"/>
      <c r="AL46" s="5464"/>
      <c r="AM46" s="5464"/>
      <c r="AN46" s="5464"/>
      <c r="AO46" s="5464"/>
      <c r="AP46" s="5464"/>
      <c r="AQ46" s="5464"/>
      <c r="AR46" s="5464"/>
      <c r="AS46" s="5464"/>
      <c r="AT46" s="5464"/>
      <c r="AU46" s="5464"/>
      <c r="AV46" s="5464"/>
      <c r="AW46" s="5464"/>
      <c r="AX46" s="5464"/>
      <c r="AY46" s="5464"/>
      <c r="AZ46" s="5464"/>
      <c r="BA46" s="5464"/>
      <c r="BB46" s="5465"/>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76">
        <v>21</v>
      </c>
    </row>
    <row r="47" spans="1:61" ht="21.95" customHeight="1">
      <c r="A47" s="1284" t="s">
        <v>290</v>
      </c>
      <c r="B47" s="1284" t="s">
        <v>291</v>
      </c>
      <c r="C47" s="1284"/>
      <c r="D47" s="1284"/>
      <c r="E47" s="5470"/>
      <c r="F47" s="5469">
        <v>1</v>
      </c>
      <c r="G47" s="1284"/>
      <c r="H47" s="1284"/>
      <c r="I47" s="1284"/>
      <c r="J47" s="1284"/>
      <c r="K47" s="1284"/>
      <c r="L47" s="1285"/>
      <c r="M47" s="1286"/>
      <c r="N47" s="1286"/>
      <c r="O47" s="1286"/>
      <c r="P47" s="1331"/>
      <c r="Q47" s="1332"/>
      <c r="R47" s="291"/>
      <c r="S47" s="1414" t="str">
        <f>INDEX(PT_DIFFERENTIATION_NUM_TER,MATCH(B47,PT_DIFFERENTIATION_TER_ID,0))</f>
        <v>.</v>
      </c>
      <c r="T47" s="246" t="s">
        <v>490</v>
      </c>
      <c r="U47" s="238"/>
      <c r="V47" s="5464"/>
      <c r="W47" s="5464"/>
      <c r="X47" s="5464"/>
      <c r="Y47" s="5464"/>
      <c r="Z47" s="5464"/>
      <c r="AA47" s="5464"/>
      <c r="AB47" s="5464"/>
      <c r="AC47" s="5465"/>
      <c r="AD47" s="5463" t="str">
        <f>INDEX(PT_DIFFERENTIATION_TER,MATCH(B47,PT_DIFFERENTIATION_TER_ID,0))</f>
        <v/>
      </c>
      <c r="AE47" s="5464"/>
      <c r="AF47" s="5464"/>
      <c r="AG47" s="5464"/>
      <c r="AH47" s="5464"/>
      <c r="AI47" s="5464"/>
      <c r="AJ47" s="5464"/>
      <c r="AK47" s="5464"/>
      <c r="AL47" s="5464"/>
      <c r="AM47" s="5464"/>
      <c r="AN47" s="5464"/>
      <c r="AO47" s="5464"/>
      <c r="AP47" s="5464"/>
      <c r="AQ47" s="5464"/>
      <c r="AR47" s="5464"/>
      <c r="AS47" s="5464"/>
      <c r="AT47" s="5464"/>
      <c r="AU47" s="5464"/>
      <c r="AV47" s="5464"/>
      <c r="AW47" s="5464"/>
      <c r="AX47" s="5464"/>
      <c r="AY47" s="5464"/>
      <c r="AZ47" s="5464"/>
      <c r="BA47" s="5464"/>
      <c r="BB47" s="5465"/>
      <c r="BC47" s="1179" t="s">
        <v>491</v>
      </c>
      <c r="BE47" s="438"/>
      <c r="BF47" s="438" t="str">
        <f t="shared" si="3"/>
        <v>Территория действия тарифа</v>
      </c>
      <c r="BG47" s="438"/>
      <c r="BH47" s="438"/>
      <c r="BI47" s="1076">
        <v>21</v>
      </c>
    </row>
    <row r="48" spans="1:61" ht="35.65" customHeight="1">
      <c r="A48" s="1284" t="s">
        <v>290</v>
      </c>
      <c r="B48" s="1284" t="s">
        <v>291</v>
      </c>
      <c r="C48" s="1284" t="s">
        <v>292</v>
      </c>
      <c r="D48" s="1284"/>
      <c r="E48" s="5470"/>
      <c r="F48" s="5470"/>
      <c r="G48" s="5469">
        <v>1</v>
      </c>
      <c r="H48" s="1284"/>
      <c r="I48" s="1284"/>
      <c r="J48" s="1284"/>
      <c r="K48" s="1284"/>
      <c r="L48" s="1285"/>
      <c r="M48" s="1286"/>
      <c r="N48" s="1286"/>
      <c r="O48" s="1286"/>
      <c r="P48" s="1333"/>
      <c r="Q48" s="1332"/>
      <c r="R48" s="291"/>
      <c r="S48" s="1414" t="str">
        <f>INDEX(PT_DIFFERENTIATION_NUM_CS,MATCH(C48,PT_DIFFERENTIATION_CS_ID,0))</f>
        <v>..</v>
      </c>
      <c r="T48" s="247" t="s">
        <v>622</v>
      </c>
      <c r="U48" s="238"/>
      <c r="V48" s="5464"/>
      <c r="W48" s="5464"/>
      <c r="X48" s="5464"/>
      <c r="Y48" s="5464"/>
      <c r="Z48" s="5464"/>
      <c r="AA48" s="5464"/>
      <c r="AB48" s="5464"/>
      <c r="AC48" s="5465"/>
      <c r="AD48" s="5463" t="str">
        <f>INDEX(PT_DIFFERENTIATION_CS,MATCH(C48,PT_DIFFERENTIATION_CS_ID,0))</f>
        <v/>
      </c>
      <c r="AE48" s="5464"/>
      <c r="AF48" s="5464"/>
      <c r="AG48" s="5464"/>
      <c r="AH48" s="5464"/>
      <c r="AI48" s="5464"/>
      <c r="AJ48" s="5464"/>
      <c r="AK48" s="5464"/>
      <c r="AL48" s="5464"/>
      <c r="AM48" s="5464"/>
      <c r="AN48" s="5464"/>
      <c r="AO48" s="5464"/>
      <c r="AP48" s="5464"/>
      <c r="AQ48" s="5464"/>
      <c r="AR48" s="5464"/>
      <c r="AS48" s="5464"/>
      <c r="AT48" s="5464"/>
      <c r="AU48" s="5464"/>
      <c r="AV48" s="5464"/>
      <c r="AW48" s="5464"/>
      <c r="AX48" s="5464"/>
      <c r="AY48" s="5464"/>
      <c r="AZ48" s="5464"/>
      <c r="BA48" s="5464"/>
      <c r="BB48" s="5465"/>
      <c r="BC48" s="1179" t="s">
        <v>623</v>
      </c>
      <c r="BE48" s="438"/>
      <c r="BF48" s="438" t="str">
        <f t="shared" si="3"/>
        <v>Наименование централизованной системы горячего водоснабжения</v>
      </c>
      <c r="BG48" s="438"/>
      <c r="BH48" s="438"/>
      <c r="BI48" s="1076">
        <v>34</v>
      </c>
    </row>
    <row r="49" spans="1:61" s="4275" customFormat="1" ht="0" hidden="1" customHeight="1">
      <c r="A49" s="1264" t="s">
        <v>290</v>
      </c>
      <c r="B49" s="1264" t="s">
        <v>291</v>
      </c>
      <c r="C49" s="1264" t="s">
        <v>292</v>
      </c>
      <c r="D49" s="1264" t="s">
        <v>636</v>
      </c>
      <c r="E49" s="5470"/>
      <c r="F49" s="5470"/>
      <c r="G49" s="5470"/>
      <c r="H49" s="5469">
        <v>1</v>
      </c>
      <c r="I49" s="1264"/>
      <c r="J49" s="1264"/>
      <c r="K49" s="1264"/>
      <c r="L49" s="1267"/>
      <c r="M49" s="1236"/>
      <c r="N49" s="1236"/>
      <c r="O49" s="1236"/>
      <c r="P49" s="1418"/>
      <c r="Q49" s="1419"/>
      <c r="R49" s="295"/>
      <c r="S49" s="967"/>
      <c r="T49" s="1420"/>
      <c r="U49" s="1305"/>
      <c r="V49" s="5501"/>
      <c r="W49" s="5501"/>
      <c r="X49" s="5501"/>
      <c r="Y49" s="5501"/>
      <c r="Z49" s="5501"/>
      <c r="AA49" s="5501"/>
      <c r="AB49" s="5501"/>
      <c r="AC49" s="5502"/>
      <c r="AD49" s="5500"/>
      <c r="AE49" s="5501"/>
      <c r="AF49" s="5501"/>
      <c r="AG49" s="5501"/>
      <c r="AH49" s="5501"/>
      <c r="AI49" s="5501"/>
      <c r="AJ49" s="5501"/>
      <c r="AK49" s="5501"/>
      <c r="AL49" s="5501"/>
      <c r="AM49" s="5501"/>
      <c r="AN49" s="5501"/>
      <c r="AO49" s="5501"/>
      <c r="AP49" s="5501"/>
      <c r="AQ49" s="5501"/>
      <c r="AR49" s="5501"/>
      <c r="AS49" s="5501"/>
      <c r="AT49" s="5501"/>
      <c r="AU49" s="5501"/>
      <c r="AV49" s="5501"/>
      <c r="AW49" s="5501"/>
      <c r="AX49" s="5501"/>
      <c r="AY49" s="5501"/>
      <c r="AZ49" s="5501"/>
      <c r="BA49" s="5501"/>
      <c r="BB49" s="5502"/>
      <c r="BC49" s="1306" t="s">
        <v>495</v>
      </c>
      <c r="BE49" s="438"/>
      <c r="BF49" s="438" t="str">
        <f t="shared" si="3"/>
        <v/>
      </c>
      <c r="BG49" s="438"/>
      <c r="BH49" s="438"/>
      <c r="BI49" s="449">
        <v>0</v>
      </c>
    </row>
    <row r="50" spans="1:61" s="4275" customFormat="1" ht="0" hidden="1" customHeight="1">
      <c r="A50" s="1264" t="s">
        <v>290</v>
      </c>
      <c r="B50" s="1264" t="s">
        <v>291</v>
      </c>
      <c r="C50" s="1264" t="s">
        <v>292</v>
      </c>
      <c r="D50" s="1264" t="s">
        <v>636</v>
      </c>
      <c r="E50" s="5470"/>
      <c r="F50" s="5470"/>
      <c r="G50" s="5470"/>
      <c r="H50" s="5470"/>
      <c r="I50" s="5471" t="str">
        <f>S49&amp;".1"</f>
        <v>.1</v>
      </c>
      <c r="J50" s="1264"/>
      <c r="K50" s="1264"/>
      <c r="L50" s="1267" t="s">
        <v>496</v>
      </c>
      <c r="M50" s="448"/>
      <c r="N50" s="448"/>
      <c r="O50" s="448"/>
      <c r="P50" s="5473">
        <v>1</v>
      </c>
      <c r="Q50" s="1402"/>
      <c r="R50" s="294"/>
      <c r="S50" s="967"/>
      <c r="T50" s="1304"/>
      <c r="U50" s="1305"/>
      <c r="V50" s="5501"/>
      <c r="W50" s="5501"/>
      <c r="X50" s="5501"/>
      <c r="Y50" s="5501"/>
      <c r="Z50" s="5501"/>
      <c r="AA50" s="5501"/>
      <c r="AB50" s="5501"/>
      <c r="AC50" s="5502"/>
      <c r="AD50" s="5500"/>
      <c r="AE50" s="5501"/>
      <c r="AF50" s="5501"/>
      <c r="AG50" s="5501"/>
      <c r="AH50" s="5501"/>
      <c r="AI50" s="5501"/>
      <c r="AJ50" s="5501"/>
      <c r="AK50" s="5501"/>
      <c r="AL50" s="5501"/>
      <c r="AM50" s="5501"/>
      <c r="AN50" s="5501"/>
      <c r="AO50" s="5501"/>
      <c r="AP50" s="5501"/>
      <c r="AQ50" s="5501"/>
      <c r="AR50" s="5501"/>
      <c r="AS50" s="5501"/>
      <c r="AT50" s="5501"/>
      <c r="AU50" s="5501"/>
      <c r="AV50" s="5501"/>
      <c r="AW50" s="5501"/>
      <c r="AX50" s="5501"/>
      <c r="AY50" s="5501"/>
      <c r="AZ50" s="5501"/>
      <c r="BA50" s="5501"/>
      <c r="BB50" s="5502"/>
      <c r="BC50" s="1306"/>
      <c r="BE50" s="438"/>
      <c r="BF50" s="438" t="str">
        <f t="shared" si="3"/>
        <v/>
      </c>
      <c r="BG50" s="438"/>
      <c r="BH50" s="438"/>
      <c r="BI50" s="449">
        <v>0</v>
      </c>
    </row>
    <row r="51" spans="1:61" s="4275" customFormat="1" ht="0" hidden="1" customHeight="1">
      <c r="A51" s="1264" t="s">
        <v>290</v>
      </c>
      <c r="B51" s="1264" t="s">
        <v>291</v>
      </c>
      <c r="C51" s="1264" t="s">
        <v>292</v>
      </c>
      <c r="D51" s="1264" t="s">
        <v>636</v>
      </c>
      <c r="E51" s="5470"/>
      <c r="F51" s="5470"/>
      <c r="G51" s="5470"/>
      <c r="H51" s="5470"/>
      <c r="I51" s="5472"/>
      <c r="J51" s="5471" t="str">
        <f>S49&amp;".1"</f>
        <v>.1</v>
      </c>
      <c r="K51" s="1264"/>
      <c r="L51" s="1267"/>
      <c r="M51" s="448"/>
      <c r="N51" s="448"/>
      <c r="O51" s="448"/>
      <c r="P51" s="5473"/>
      <c r="Q51" s="5473">
        <v>1</v>
      </c>
      <c r="R51" s="295"/>
      <c r="S51" s="967"/>
      <c r="T51" s="1320"/>
      <c r="U51" s="1305"/>
      <c r="V51" s="5501"/>
      <c r="W51" s="5501"/>
      <c r="X51" s="5501"/>
      <c r="Y51" s="5501"/>
      <c r="Z51" s="5501"/>
      <c r="AA51" s="5501"/>
      <c r="AB51" s="5501"/>
      <c r="AC51" s="5502"/>
      <c r="AD51" s="5500"/>
      <c r="AE51" s="5501"/>
      <c r="AF51" s="5501"/>
      <c r="AG51" s="5501"/>
      <c r="AH51" s="5501"/>
      <c r="AI51" s="5501"/>
      <c r="AJ51" s="5501"/>
      <c r="AK51" s="5501"/>
      <c r="AL51" s="5501"/>
      <c r="AM51" s="5501"/>
      <c r="AN51" s="5552"/>
      <c r="AO51" s="5552"/>
      <c r="AP51" s="5501"/>
      <c r="AQ51" s="5501"/>
      <c r="AR51" s="5501"/>
      <c r="AS51" s="5501"/>
      <c r="AT51" s="5501"/>
      <c r="AU51" s="5501"/>
      <c r="AV51" s="5501"/>
      <c r="AW51" s="5501"/>
      <c r="AX51" s="5501"/>
      <c r="AY51" s="5501"/>
      <c r="AZ51" s="5501"/>
      <c r="BA51" s="5501"/>
      <c r="BB51" s="5502"/>
      <c r="BC51" s="1306"/>
      <c r="BE51" s="438"/>
      <c r="BF51" s="438" t="str">
        <f t="shared" si="3"/>
        <v/>
      </c>
      <c r="BG51" s="438"/>
      <c r="BH51" s="438"/>
      <c r="BI51" s="449">
        <v>0</v>
      </c>
    </row>
    <row r="52" spans="1:61" ht="11.45" customHeight="1">
      <c r="A52" s="1284" t="s">
        <v>290</v>
      </c>
      <c r="B52" s="1284" t="s">
        <v>291</v>
      </c>
      <c r="C52" s="1284" t="s">
        <v>292</v>
      </c>
      <c r="D52" s="1284" t="s">
        <v>636</v>
      </c>
      <c r="E52" s="5470"/>
      <c r="F52" s="5470"/>
      <c r="G52" s="5470"/>
      <c r="H52" s="5470"/>
      <c r="I52" s="5472"/>
      <c r="J52" s="5472"/>
      <c r="K52" s="5471" t="str">
        <f>S48&amp;".1"</f>
        <v>...1</v>
      </c>
      <c r="L52" s="1285"/>
      <c r="P52" s="5473"/>
      <c r="Q52" s="5473"/>
      <c r="R52" s="295">
        <v>1</v>
      </c>
      <c r="S52" s="5526" t="str">
        <f>$K52</f>
        <v>...1</v>
      </c>
      <c r="T52" s="5546"/>
      <c r="U52" s="238"/>
      <c r="V52" s="689"/>
      <c r="W52" s="1178"/>
      <c r="X52" s="689"/>
      <c r="Y52" s="1178"/>
      <c r="Z52" s="1654"/>
      <c r="AA52" s="1390" t="s">
        <v>66</v>
      </c>
      <c r="AB52" s="1654"/>
      <c r="AC52" s="1390" t="s">
        <v>66</v>
      </c>
      <c r="AD52" s="5399" t="s">
        <v>66</v>
      </c>
      <c r="AE52" s="5522"/>
      <c r="AF52" s="5427">
        <v>1</v>
      </c>
      <c r="AG52" s="5545"/>
      <c r="AH52" s="5338" t="s">
        <v>66</v>
      </c>
      <c r="AI52" s="5522"/>
      <c r="AJ52" s="5427">
        <v>1</v>
      </c>
      <c r="AK52" s="5536" t="s">
        <v>28</v>
      </c>
      <c r="AL52" s="5338" t="s">
        <v>66</v>
      </c>
      <c r="AM52" s="5404"/>
      <c r="AN52" s="5427">
        <v>1</v>
      </c>
      <c r="AO52" s="5549"/>
      <c r="AP52" s="5550" t="s">
        <v>66</v>
      </c>
      <c r="AQ52" s="249"/>
      <c r="AR52" s="1407">
        <v>1</v>
      </c>
      <c r="AS52" s="1413" t="s">
        <v>28</v>
      </c>
      <c r="AT52" s="689"/>
      <c r="AU52" s="1178"/>
      <c r="AV52" s="689"/>
      <c r="AW52" s="1178"/>
      <c r="AX52" s="1654"/>
      <c r="AY52" s="1390" t="s">
        <v>66</v>
      </c>
      <c r="AZ52" s="1654"/>
      <c r="BA52" s="1390" t="s">
        <v>66</v>
      </c>
      <c r="BB52" s="1269"/>
      <c r="BC52" s="5492" t="s">
        <v>591</v>
      </c>
      <c r="BE52" s="438"/>
      <c r="BF52" s="438" t="str">
        <f t="shared" si="3"/>
        <v/>
      </c>
      <c r="BG52" s="438"/>
      <c r="BH52" s="438"/>
      <c r="BI52" s="1076">
        <v>11</v>
      </c>
    </row>
    <row r="53" spans="1:61" ht="11.45" customHeight="1">
      <c r="A53" s="1284"/>
      <c r="B53" s="1284"/>
      <c r="C53" s="1284"/>
      <c r="D53" s="1284"/>
      <c r="E53" s="5470"/>
      <c r="F53" s="5470"/>
      <c r="G53" s="5470"/>
      <c r="H53" s="5470"/>
      <c r="I53" s="5472"/>
      <c r="J53" s="5472"/>
      <c r="K53" s="5471"/>
      <c r="L53" s="1285"/>
      <c r="P53" s="5473"/>
      <c r="Q53" s="5473"/>
      <c r="R53" s="295"/>
      <c r="S53" s="5527"/>
      <c r="T53" s="5547"/>
      <c r="U53" s="238"/>
      <c r="V53" s="1314"/>
      <c r="W53" s="1417"/>
      <c r="X53" s="1314"/>
      <c r="Y53" s="1417"/>
      <c r="Z53" s="1314"/>
      <c r="AA53" s="1314"/>
      <c r="AB53" s="1314"/>
      <c r="AC53" s="1314"/>
      <c r="AD53" s="5400"/>
      <c r="AE53" s="5522"/>
      <c r="AF53" s="5427"/>
      <c r="AG53" s="5545"/>
      <c r="AH53" s="5338"/>
      <c r="AI53" s="5522"/>
      <c r="AJ53" s="5427"/>
      <c r="AK53" s="5536"/>
      <c r="AL53" s="5338"/>
      <c r="AM53" s="5409"/>
      <c r="AN53" s="5427"/>
      <c r="AO53" s="5549"/>
      <c r="AP53" s="5551"/>
      <c r="AQ53" s="254"/>
      <c r="AR53" s="354"/>
      <c r="AS53" s="354" t="s">
        <v>592</v>
      </c>
      <c r="AT53" s="1314"/>
      <c r="AU53" s="1417"/>
      <c r="AV53" s="1314"/>
      <c r="AW53" s="1417"/>
      <c r="AX53" s="1314"/>
      <c r="AY53" s="1314"/>
      <c r="AZ53" s="1314"/>
      <c r="BA53" s="1314"/>
      <c r="BB53" s="1318"/>
      <c r="BC53" s="5493"/>
      <c r="BE53" s="438"/>
      <c r="BF53" s="438"/>
      <c r="BG53" s="438"/>
      <c r="BH53" s="438"/>
      <c r="BI53" s="1076">
        <v>11</v>
      </c>
    </row>
    <row r="54" spans="1:61" ht="11.45" customHeight="1">
      <c r="A54" s="1284" t="s">
        <v>290</v>
      </c>
      <c r="B54" s="1284"/>
      <c r="C54" s="1284"/>
      <c r="D54" s="1284"/>
      <c r="E54" s="5470"/>
      <c r="F54" s="5470"/>
      <c r="G54" s="5470"/>
      <c r="H54" s="5470"/>
      <c r="I54" s="5472"/>
      <c r="J54" s="5472"/>
      <c r="K54" s="5471"/>
      <c r="L54" s="1285"/>
      <c r="P54" s="5473"/>
      <c r="Q54" s="5473"/>
      <c r="R54" s="295"/>
      <c r="S54" s="5527"/>
      <c r="T54" s="5547"/>
      <c r="U54" s="238"/>
      <c r="V54" s="1314"/>
      <c r="W54" s="1417"/>
      <c r="X54" s="1314"/>
      <c r="Y54" s="1417"/>
      <c r="Z54" s="1314"/>
      <c r="AA54" s="1314"/>
      <c r="AB54" s="1314"/>
      <c r="AC54" s="1314"/>
      <c r="AD54" s="5400"/>
      <c r="AE54" s="5522"/>
      <c r="AF54" s="5427"/>
      <c r="AG54" s="5545"/>
      <c r="AH54" s="5338"/>
      <c r="AI54" s="5522"/>
      <c r="AJ54" s="5427"/>
      <c r="AK54" s="5536"/>
      <c r="AL54" s="5338"/>
      <c r="AM54" s="254"/>
      <c r="AN54" s="1421"/>
      <c r="AO54" s="1421" t="s">
        <v>593</v>
      </c>
      <c r="AP54" s="354"/>
      <c r="AQ54" s="354"/>
      <c r="AR54" s="354"/>
      <c r="AS54" s="1314"/>
      <c r="AT54" s="1314"/>
      <c r="AU54" s="1417"/>
      <c r="AV54" s="1314"/>
      <c r="AW54" s="1417"/>
      <c r="AX54" s="1314"/>
      <c r="AY54" s="1314"/>
      <c r="AZ54" s="1314"/>
      <c r="BA54" s="1314"/>
      <c r="BB54" s="1318"/>
      <c r="BC54" s="5493"/>
      <c r="BE54" s="438"/>
      <c r="BF54" s="438"/>
      <c r="BG54" s="438"/>
      <c r="BH54" s="438"/>
      <c r="BI54" s="1076">
        <v>11</v>
      </c>
    </row>
    <row r="55" spans="1:61" ht="11.45" customHeight="1">
      <c r="A55" s="1284" t="s">
        <v>290</v>
      </c>
      <c r="B55" s="1284"/>
      <c r="C55" s="1284"/>
      <c r="D55" s="1284"/>
      <c r="E55" s="5470"/>
      <c r="F55" s="5470"/>
      <c r="G55" s="5470"/>
      <c r="H55" s="5470"/>
      <c r="I55" s="5472"/>
      <c r="J55" s="5472"/>
      <c r="K55" s="5471"/>
      <c r="L55" s="1285"/>
      <c r="P55" s="5473"/>
      <c r="Q55" s="5473"/>
      <c r="R55" s="295"/>
      <c r="S55" s="5527"/>
      <c r="T55" s="5547"/>
      <c r="U55" s="238"/>
      <c r="V55" s="1314"/>
      <c r="W55" s="1417"/>
      <c r="X55" s="1314"/>
      <c r="Y55" s="1417"/>
      <c r="Z55" s="1314"/>
      <c r="AA55" s="1314"/>
      <c r="AB55" s="1314"/>
      <c r="AC55" s="1314"/>
      <c r="AD55" s="5400"/>
      <c r="AE55" s="5522"/>
      <c r="AF55" s="5427"/>
      <c r="AG55" s="5545"/>
      <c r="AH55" s="5338"/>
      <c r="AI55" s="232"/>
      <c r="AJ55" s="353"/>
      <c r="AK55" s="251" t="s">
        <v>594</v>
      </c>
      <c r="AL55" s="1314"/>
      <c r="AM55" s="1314"/>
      <c r="AN55" s="1314"/>
      <c r="AO55" s="1314"/>
      <c r="AP55" s="1314"/>
      <c r="AQ55" s="1314"/>
      <c r="AR55" s="1314"/>
      <c r="AS55" s="1314"/>
      <c r="AT55" s="1314"/>
      <c r="AU55" s="1417"/>
      <c r="AV55" s="1314"/>
      <c r="AW55" s="1417"/>
      <c r="AX55" s="1314"/>
      <c r="AY55" s="1314"/>
      <c r="AZ55" s="1314"/>
      <c r="BA55" s="1314"/>
      <c r="BB55" s="1318"/>
      <c r="BC55" s="5493"/>
      <c r="BE55" s="438"/>
      <c r="BF55" s="438"/>
      <c r="BG55" s="438"/>
      <c r="BH55" s="438"/>
      <c r="BI55" s="1076">
        <v>11</v>
      </c>
    </row>
    <row r="56" spans="1:61" ht="11.45" customHeight="1">
      <c r="A56" s="1284" t="s">
        <v>290</v>
      </c>
      <c r="B56" s="1284" t="s">
        <v>291</v>
      </c>
      <c r="C56" s="1284" t="s">
        <v>292</v>
      </c>
      <c r="D56" s="1284" t="s">
        <v>636</v>
      </c>
      <c r="E56" s="5470"/>
      <c r="F56" s="5470"/>
      <c r="G56" s="5470"/>
      <c r="H56" s="5470"/>
      <c r="I56" s="5472"/>
      <c r="J56" s="5472"/>
      <c r="K56" s="5471"/>
      <c r="L56" s="1285"/>
      <c r="P56" s="5473"/>
      <c r="Q56" s="5473"/>
      <c r="R56" s="295"/>
      <c r="S56" s="5528"/>
      <c r="T56" s="5548"/>
      <c r="U56" s="238"/>
      <c r="V56" s="1314"/>
      <c r="W56" s="1315" t="str">
        <f>Z52&amp;"-"&amp;AB52</f>
        <v>-</v>
      </c>
      <c r="X56" s="1314"/>
      <c r="Y56" s="1315" t="str">
        <f>AB52&amp;"-"&amp;AD52</f>
        <v>-да</v>
      </c>
      <c r="Z56" s="1314"/>
      <c r="AA56" s="1314"/>
      <c r="AB56" s="1314"/>
      <c r="AC56" s="1314"/>
      <c r="AD56" s="5343"/>
      <c r="AE56" s="250"/>
      <c r="AF56" s="252"/>
      <c r="AG56" s="354" t="s">
        <v>595</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5493"/>
      <c r="BE56" s="438"/>
      <c r="BF56" s="438" t="str">
        <f t="shared" ref="BF56:BF63" si="4">IF(T56="","",T56)</f>
        <v/>
      </c>
      <c r="BG56" s="438"/>
      <c r="BH56" s="438"/>
      <c r="BI56" s="1076">
        <v>11</v>
      </c>
    </row>
    <row r="57" spans="1:61" ht="11.45" customHeight="1">
      <c r="A57" s="1284" t="s">
        <v>290</v>
      </c>
      <c r="B57" s="1284" t="s">
        <v>291</v>
      </c>
      <c r="C57" s="1284" t="s">
        <v>292</v>
      </c>
      <c r="D57" s="1284" t="s">
        <v>636</v>
      </c>
      <c r="E57" s="5470"/>
      <c r="F57" s="5470"/>
      <c r="G57" s="5470"/>
      <c r="H57" s="5470"/>
      <c r="I57" s="5472"/>
      <c r="J57" s="5471"/>
      <c r="K57" s="1284"/>
      <c r="L57" s="1285"/>
      <c r="P57" s="5473"/>
      <c r="Q57" s="5473"/>
      <c r="R57" s="294"/>
      <c r="S57" s="1199"/>
      <c r="T57" s="225" t="s">
        <v>558</v>
      </c>
      <c r="U57" s="305"/>
      <c r="V57" s="305"/>
      <c r="W57" s="305"/>
      <c r="X57" s="305"/>
      <c r="Y57" s="305"/>
      <c r="Z57" s="305"/>
      <c r="AA57" s="305"/>
      <c r="AB57" s="305"/>
      <c r="AC57" s="262"/>
      <c r="AD57" s="1426"/>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5494"/>
      <c r="BE57" s="438"/>
      <c r="BF57" s="438" t="str">
        <f t="shared" si="4"/>
        <v>Добавить строку</v>
      </c>
      <c r="BG57" s="438"/>
      <c r="BH57" s="438"/>
      <c r="BI57" s="1076">
        <v>11</v>
      </c>
    </row>
    <row r="58" spans="1:61" s="4275" customFormat="1" ht="0" hidden="1" customHeight="1">
      <c r="A58" s="1264" t="s">
        <v>290</v>
      </c>
      <c r="B58" s="1264" t="s">
        <v>291</v>
      </c>
      <c r="C58" s="1264" t="s">
        <v>292</v>
      </c>
      <c r="D58" s="1264" t="s">
        <v>636</v>
      </c>
      <c r="E58" s="5470"/>
      <c r="F58" s="5470"/>
      <c r="G58" s="5470"/>
      <c r="H58" s="5470"/>
      <c r="I58" s="5471"/>
      <c r="J58" s="1264"/>
      <c r="K58" s="1264"/>
      <c r="L58" s="1267"/>
      <c r="M58" s="448"/>
      <c r="N58" s="448"/>
      <c r="O58" s="448"/>
      <c r="P58" s="5473"/>
      <c r="Q58" s="1402"/>
      <c r="R58" s="294"/>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38"/>
      <c r="BF58" s="438" t="str">
        <f t="shared" si="4"/>
        <v/>
      </c>
      <c r="BG58" s="438"/>
      <c r="BH58" s="438"/>
      <c r="BI58" s="449">
        <v>0</v>
      </c>
    </row>
    <row r="59" spans="1:61" s="4275" customFormat="1" ht="0" hidden="1" customHeight="1">
      <c r="A59" s="1264" t="s">
        <v>290</v>
      </c>
      <c r="B59" s="1264" t="s">
        <v>291</v>
      </c>
      <c r="C59" s="1264" t="s">
        <v>292</v>
      </c>
      <c r="D59" s="1264" t="s">
        <v>636</v>
      </c>
      <c r="E59" s="5470"/>
      <c r="F59" s="5470"/>
      <c r="G59" s="5470"/>
      <c r="H59" s="5469"/>
      <c r="I59" s="1264"/>
      <c r="J59" s="1264"/>
      <c r="K59" s="1264"/>
      <c r="L59" s="1267"/>
      <c r="M59" s="1236"/>
      <c r="N59" s="1236"/>
      <c r="O59" s="456"/>
      <c r="P59" s="318"/>
      <c r="Q59" s="1265"/>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38"/>
      <c r="BF59" s="438" t="str">
        <f t="shared" si="4"/>
        <v/>
      </c>
      <c r="BG59" s="438"/>
      <c r="BH59" s="438"/>
      <c r="BI59" s="449">
        <v>0</v>
      </c>
    </row>
    <row r="60" spans="1:61" s="4275" customFormat="1" ht="0" hidden="1" customHeight="1">
      <c r="A60" s="1264" t="s">
        <v>290</v>
      </c>
      <c r="B60" s="1264" t="s">
        <v>291</v>
      </c>
      <c r="C60" s="1264" t="s">
        <v>292</v>
      </c>
      <c r="D60" s="1235"/>
      <c r="E60" s="5470"/>
      <c r="F60" s="5470"/>
      <c r="G60" s="5469"/>
      <c r="H60" s="1235"/>
      <c r="I60" s="1235"/>
      <c r="J60" s="1235"/>
      <c r="K60" s="1235"/>
      <c r="L60" s="1415"/>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21"/>
      <c r="BF60" s="721" t="str">
        <f t="shared" si="4"/>
        <v/>
      </c>
      <c r="BG60" s="721"/>
      <c r="BH60" s="721"/>
      <c r="BI60" s="456">
        <v>0</v>
      </c>
    </row>
    <row r="61" spans="1:61" s="4275" customFormat="1" ht="0" hidden="1" customHeight="1">
      <c r="A61" s="1264" t="s">
        <v>290</v>
      </c>
      <c r="B61" s="1264" t="s">
        <v>291</v>
      </c>
      <c r="C61" s="1235"/>
      <c r="D61" s="1235"/>
      <c r="E61" s="5470"/>
      <c r="F61" s="5469"/>
      <c r="G61" s="1235"/>
      <c r="H61" s="1235"/>
      <c r="I61" s="1235"/>
      <c r="J61" s="1235"/>
      <c r="K61" s="1235"/>
      <c r="L61" s="1415"/>
      <c r="M61" s="1242"/>
      <c r="N61" s="1242"/>
      <c r="P61" s="1237"/>
      <c r="Q61" s="1238"/>
      <c r="R61" s="1237"/>
      <c r="S61" s="1243"/>
      <c r="T61" s="1246" t="s">
        <v>312</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21"/>
      <c r="BF61" s="721" t="str">
        <f t="shared" si="4"/>
        <v>Добавить централизованную систему для дифференциации</v>
      </c>
      <c r="BG61" s="721"/>
      <c r="BH61" s="721"/>
      <c r="BI61" s="456">
        <v>0</v>
      </c>
    </row>
    <row r="62" spans="1:61" s="4275" customFormat="1" ht="0" hidden="1" customHeight="1">
      <c r="A62" s="1264" t="s">
        <v>290</v>
      </c>
      <c r="B62" s="1264"/>
      <c r="C62" s="1264"/>
      <c r="D62" s="1264"/>
      <c r="E62" s="5469"/>
      <c r="F62" s="1264"/>
      <c r="G62" s="1264"/>
      <c r="H62" s="1264"/>
      <c r="I62" s="1264"/>
      <c r="J62" s="1264"/>
      <c r="K62" s="1264"/>
      <c r="L62" s="1267"/>
      <c r="M62" s="1242"/>
      <c r="N62" s="1242"/>
      <c r="O62" s="456"/>
      <c r="P62" s="318"/>
      <c r="Q62" s="1265"/>
      <c r="R62" s="318"/>
      <c r="S62" s="1243"/>
      <c r="T62" s="1246" t="s">
        <v>360</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38"/>
      <c r="BF62" s="438" t="str">
        <f t="shared" si="4"/>
        <v>Добавить территорию для дифференциации</v>
      </c>
      <c r="BG62" s="438"/>
      <c r="BH62" s="438"/>
      <c r="BI62" s="449">
        <v>0</v>
      </c>
    </row>
    <row r="63" spans="1:61" s="4275" customFormat="1" ht="0" hidden="1" customHeight="1">
      <c r="A63" s="1235"/>
      <c r="B63" s="1235"/>
      <c r="C63" s="1235"/>
      <c r="D63" s="1235"/>
      <c r="E63" s="1264"/>
      <c r="F63" s="1235"/>
      <c r="G63" s="1235"/>
      <c r="H63" s="1235"/>
      <c r="I63" s="1235"/>
      <c r="J63" s="1235"/>
      <c r="K63" s="1235"/>
      <c r="L63" s="1415"/>
      <c r="M63" s="1242"/>
      <c r="N63" s="1242"/>
      <c r="P63" s="1237"/>
      <c r="Q63" s="1238"/>
      <c r="R63" s="1237"/>
      <c r="S63" s="1243"/>
      <c r="T63" s="1246" t="s">
        <v>361</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21"/>
      <c r="BF63" s="721" t="str">
        <f t="shared" si="4"/>
        <v>Добавить наименование тарифа</v>
      </c>
      <c r="BG63" s="721"/>
      <c r="BH63" s="721"/>
      <c r="BI63" s="456">
        <v>0</v>
      </c>
    </row>
    <row r="64" spans="1:61" ht="11.45" customHeight="1">
      <c r="M64" s="1081"/>
      <c r="N64" s="1081"/>
      <c r="O64" s="475"/>
      <c r="P64" s="1081"/>
      <c r="Q64" s="1081"/>
      <c r="R64" s="1076"/>
      <c r="S64" s="1076"/>
      <c r="BD64" s="1076"/>
      <c r="BE64" s="1076"/>
      <c r="BF64" s="1076"/>
      <c r="BG64" s="1076"/>
      <c r="BH64" s="1076"/>
      <c r="BI64" s="1076">
        <v>11</v>
      </c>
    </row>
    <row r="65" spans="1:61" ht="19.899999999999999" customHeight="1">
      <c r="O65" s="475"/>
      <c r="S65" s="1174"/>
      <c r="T65" s="5468"/>
      <c r="U65" s="5468"/>
      <c r="V65" s="5468"/>
      <c r="W65" s="5468"/>
      <c r="X65" s="5468"/>
      <c r="Y65" s="5468"/>
      <c r="Z65" s="5468"/>
      <c r="AA65" s="5468"/>
      <c r="AB65" s="5468"/>
      <c r="AC65" s="5468"/>
      <c r="AD65" s="5468"/>
      <c r="AE65" s="5468"/>
      <c r="AF65" s="5468"/>
      <c r="AG65" s="5468"/>
      <c r="AH65" s="5468"/>
      <c r="AI65" s="5468"/>
      <c r="AJ65" s="5468"/>
      <c r="AK65" s="5468"/>
      <c r="AL65" s="5468"/>
      <c r="AM65" s="5468"/>
      <c r="AN65" s="5468"/>
      <c r="AO65" s="5468"/>
      <c r="AP65" s="5468"/>
      <c r="AQ65" s="5468"/>
      <c r="AR65" s="5468"/>
      <c r="AS65" s="5468"/>
      <c r="AT65" s="5468"/>
      <c r="AU65" s="5468"/>
      <c r="AV65" s="5468"/>
      <c r="AW65" s="5468"/>
      <c r="AX65" s="5468"/>
      <c r="AY65" s="5468"/>
      <c r="AZ65" s="5468"/>
      <c r="BA65" s="5468"/>
      <c r="BB65" s="5468"/>
      <c r="BC65" s="5468"/>
      <c r="BI65" s="1076">
        <v>19</v>
      </c>
    </row>
    <row r="66" spans="1:61" ht="14.65" customHeight="1">
      <c r="O66" s="475"/>
      <c r="T66" s="1401"/>
      <c r="U66" s="1401"/>
      <c r="V66" s="1401"/>
      <c r="W66" s="1401"/>
      <c r="X66" s="1401"/>
      <c r="Y66" s="1401"/>
      <c r="Z66" s="1401"/>
      <c r="AA66" s="1401"/>
      <c r="AB66" s="1401"/>
      <c r="AC66" s="1401"/>
      <c r="AD66" s="1401"/>
      <c r="AE66" s="1401"/>
      <c r="AF66" s="1401"/>
      <c r="AG66" s="1401"/>
      <c r="AH66" s="1401"/>
      <c r="AI66" s="1401"/>
      <c r="AJ66" s="1401"/>
      <c r="AK66" s="1401"/>
      <c r="AL66" s="1401"/>
      <c r="AM66" s="1401"/>
      <c r="AN66" s="1401"/>
      <c r="AO66" s="1401"/>
      <c r="AP66" s="1401"/>
      <c r="AQ66" s="1401"/>
      <c r="AR66" s="1401"/>
      <c r="AS66" s="1401"/>
      <c r="AT66" s="1401"/>
      <c r="AU66" s="1401"/>
      <c r="AV66" s="1401"/>
      <c r="AW66" s="1401"/>
      <c r="AX66" s="1401"/>
      <c r="AY66" s="1401"/>
      <c r="AZ66" s="1401"/>
      <c r="BA66" s="1401"/>
      <c r="BB66" s="1401"/>
      <c r="BC66" s="1401"/>
      <c r="BI66" s="1076">
        <v>14</v>
      </c>
    </row>
    <row r="67" spans="1:61" ht="19.899999999999999" customHeight="1">
      <c r="O67" s="475"/>
      <c r="S67" s="1174"/>
      <c r="T67" s="5468"/>
      <c r="U67" s="5468"/>
      <c r="V67" s="5468"/>
      <c r="W67" s="5468"/>
      <c r="X67" s="5468"/>
      <c r="Y67" s="5468"/>
      <c r="Z67" s="5468"/>
      <c r="AA67" s="5468"/>
      <c r="AB67" s="5468"/>
      <c r="AC67" s="5468"/>
      <c r="AD67" s="5468"/>
      <c r="AE67" s="5468"/>
      <c r="AF67" s="5468"/>
      <c r="AG67" s="5468"/>
      <c r="AH67" s="5468"/>
      <c r="AI67" s="5468"/>
      <c r="AJ67" s="5468"/>
      <c r="AK67" s="5468"/>
      <c r="AL67" s="5468"/>
      <c r="AM67" s="5468"/>
      <c r="AN67" s="5468"/>
      <c r="AO67" s="5468"/>
      <c r="AP67" s="5468"/>
      <c r="AQ67" s="5468"/>
      <c r="AR67" s="5468"/>
      <c r="AS67" s="5468"/>
      <c r="AT67" s="5468"/>
      <c r="AU67" s="5468"/>
      <c r="AV67" s="5468"/>
      <c r="AW67" s="5468"/>
      <c r="AX67" s="5468"/>
      <c r="AY67" s="5468"/>
      <c r="AZ67" s="5468"/>
      <c r="BA67" s="5468"/>
      <c r="BB67" s="5468"/>
      <c r="BC67" s="5468"/>
      <c r="BI67" s="1076">
        <v>19</v>
      </c>
    </row>
    <row r="68" spans="1:61" ht="14.65" customHeight="1">
      <c r="O68" s="475"/>
      <c r="BI68" s="1076">
        <v>14</v>
      </c>
    </row>
    <row r="69" spans="1:61" ht="14.25" hidden="1" customHeight="1">
      <c r="A69" s="1081" t="s">
        <v>82</v>
      </c>
      <c r="B69" s="1081">
        <v>0</v>
      </c>
      <c r="C69" s="1081">
        <v>0</v>
      </c>
      <c r="D69" s="1081">
        <v>0</v>
      </c>
      <c r="E69" s="1081">
        <v>0</v>
      </c>
      <c r="F69" s="1081">
        <v>0</v>
      </c>
      <c r="G69" s="1081">
        <v>0</v>
      </c>
      <c r="H69" s="1081">
        <v>0</v>
      </c>
      <c r="I69" s="1081">
        <v>0</v>
      </c>
      <c r="J69" s="1081">
        <v>0</v>
      </c>
      <c r="K69" s="1081">
        <v>0</v>
      </c>
      <c r="L69" s="1399">
        <v>0</v>
      </c>
      <c r="M69" s="1283">
        <v>0</v>
      </c>
      <c r="N69" s="1283">
        <v>0</v>
      </c>
      <c r="O69" s="1283">
        <v>0</v>
      </c>
      <c r="P69" s="1283">
        <v>0</v>
      </c>
      <c r="Q69" s="1292">
        <v>0</v>
      </c>
      <c r="R69" s="282">
        <v>3</v>
      </c>
      <c r="S69" s="519">
        <v>12</v>
      </c>
      <c r="T69" s="1076">
        <v>31</v>
      </c>
      <c r="U69" s="1076">
        <v>0</v>
      </c>
      <c r="V69" s="1076">
        <v>0</v>
      </c>
      <c r="W69" s="1076">
        <v>0</v>
      </c>
      <c r="X69" s="1076">
        <v>0</v>
      </c>
      <c r="Y69" s="1076">
        <v>0</v>
      </c>
      <c r="Z69" s="1076">
        <v>0</v>
      </c>
      <c r="AA69" s="1076">
        <v>0</v>
      </c>
      <c r="AB69" s="1076">
        <v>0</v>
      </c>
      <c r="AC69" s="1076">
        <v>0</v>
      </c>
      <c r="AD69" s="1076">
        <v>3</v>
      </c>
      <c r="AE69" s="1076">
        <v>3</v>
      </c>
      <c r="AF69" s="1076">
        <v>3</v>
      </c>
      <c r="AG69" s="1076">
        <v>24</v>
      </c>
      <c r="AH69" s="1076">
        <v>3</v>
      </c>
      <c r="AI69" s="1076">
        <v>3</v>
      </c>
      <c r="AJ69" s="1076">
        <v>3</v>
      </c>
      <c r="AK69" s="1076">
        <v>24</v>
      </c>
      <c r="AL69" s="1076">
        <v>3</v>
      </c>
      <c r="AM69" s="1076">
        <v>3</v>
      </c>
      <c r="AN69" s="1076">
        <v>3</v>
      </c>
      <c r="AO69" s="1076">
        <v>18</v>
      </c>
      <c r="AP69" s="1076">
        <v>3</v>
      </c>
      <c r="AQ69" s="1076">
        <v>3</v>
      </c>
      <c r="AR69" s="1076">
        <v>3</v>
      </c>
      <c r="AS69" s="1076">
        <v>18</v>
      </c>
      <c r="AT69" s="1076">
        <v>21</v>
      </c>
      <c r="AU69" s="1076">
        <v>21</v>
      </c>
      <c r="AV69" s="1076">
        <v>21</v>
      </c>
      <c r="AW69" s="1076">
        <v>21</v>
      </c>
      <c r="AX69" s="1076">
        <v>11</v>
      </c>
      <c r="AY69" s="1076">
        <v>3</v>
      </c>
      <c r="AZ69" s="1076">
        <v>11</v>
      </c>
      <c r="BA69" s="1076">
        <v>0</v>
      </c>
      <c r="BB69" s="1076">
        <v>4</v>
      </c>
      <c r="BC69" s="1076">
        <v>115</v>
      </c>
      <c r="BD69" s="449">
        <v>10</v>
      </c>
      <c r="BE69" s="449">
        <v>10</v>
      </c>
      <c r="BF69" s="449">
        <v>10</v>
      </c>
      <c r="BG69" s="449">
        <v>10</v>
      </c>
      <c r="BH69" s="449">
        <v>10</v>
      </c>
      <c r="BI69" s="1076">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5256" hidden="1" customWidth="1"/>
    <col min="2" max="2" width="16.85546875" style="4274" hidden="1" customWidth="1"/>
    <col min="3" max="3" width="5.5703125" style="4275" hidden="1" customWidth="1"/>
    <col min="4" max="4" width="3" style="4267" customWidth="1"/>
    <col min="5" max="5" width="7" style="4267" customWidth="1"/>
    <col min="6" max="6" width="54" style="4267" customWidth="1"/>
    <col min="7" max="7" width="10" style="4267" customWidth="1"/>
    <col min="8" max="8" width="40.7109375" style="4267" hidden="1" customWidth="1"/>
    <col min="9" max="9" width="40.7109375" style="4267" customWidth="1"/>
    <col min="10" max="10" width="102" style="4267" customWidth="1"/>
    <col min="11" max="11" width="9" style="4274" customWidth="1"/>
    <col min="12" max="12" width="5" style="4275" customWidth="1"/>
    <col min="13" max="13" width="3" style="4275" customWidth="1"/>
    <col min="14" max="17" width="3" style="4274" customWidth="1"/>
    <col min="18" max="18" width="10" style="4275" customWidth="1"/>
    <col min="19" max="19" width="34" style="4274" customWidth="1"/>
    <col min="20" max="20" width="9" style="4274" customWidth="1"/>
    <col min="21" max="21" width="8" style="5257" customWidth="1"/>
    <col min="22" max="26" width="8" style="4274" customWidth="1"/>
    <col min="27" max="31" width="8" style="4265" customWidth="1"/>
    <col min="32" max="32" width="9.140625" style="4267" hidden="1"/>
  </cols>
  <sheetData>
    <row r="1" spans="1:32" ht="22.5" hidden="1" customHeight="1">
      <c r="AF1" s="1552" t="s">
        <v>14</v>
      </c>
    </row>
    <row r="2" spans="1:32" ht="23.25" hidden="1" customHeight="1">
      <c r="B2" s="5312"/>
      <c r="C2" s="1088" t="s">
        <v>637</v>
      </c>
      <c r="D2" s="1559"/>
      <c r="E2" s="484">
        <f>B2</f>
        <v>0</v>
      </c>
      <c r="F2" s="485"/>
      <c r="G2" s="1567" t="s">
        <v>638</v>
      </c>
      <c r="H2" s="1567" t="s">
        <v>638</v>
      </c>
      <c r="I2" s="1567" t="s">
        <v>638</v>
      </c>
      <c r="J2" s="227" t="s">
        <v>639</v>
      </c>
      <c r="K2" s="481"/>
      <c r="AF2" s="1552">
        <v>0</v>
      </c>
    </row>
    <row r="3" spans="1:32" s="4275" customFormat="1" ht="0.75" hidden="1" customHeight="1">
      <c r="B3" s="5312"/>
      <c r="C3" s="1088"/>
      <c r="D3" s="486"/>
      <c r="E3" s="487"/>
      <c r="F3" s="488" t="s">
        <v>640</v>
      </c>
      <c r="G3" s="489"/>
      <c r="H3" s="489">
        <f>H4*H5+H7</f>
        <v>0</v>
      </c>
      <c r="I3" s="489">
        <f>I4*I5+I6</f>
        <v>0</v>
      </c>
      <c r="J3" s="490"/>
      <c r="AF3" s="1557">
        <v>0</v>
      </c>
    </row>
    <row r="4" spans="1:32" ht="23.25" hidden="1" customHeight="1">
      <c r="B4" s="5312"/>
      <c r="C4" s="1088"/>
      <c r="D4" s="1559"/>
      <c r="E4" s="484" t="str">
        <f>B2&amp;".1"</f>
        <v>.1</v>
      </c>
      <c r="F4" s="491" t="s">
        <v>641</v>
      </c>
      <c r="G4" s="492"/>
      <c r="H4" s="479"/>
      <c r="I4" s="479"/>
      <c r="J4" s="227" t="s">
        <v>642</v>
      </c>
      <c r="K4" s="481"/>
      <c r="AF4" s="1552">
        <v>0</v>
      </c>
    </row>
    <row r="5" spans="1:32" ht="18.75" hidden="1" customHeight="1">
      <c r="B5" s="5312"/>
      <c r="C5" s="1088"/>
      <c r="D5" s="1559"/>
      <c r="E5" s="484" t="str">
        <f>B2&amp;".2"</f>
        <v>.2</v>
      </c>
      <c r="F5" s="491" t="s">
        <v>643</v>
      </c>
      <c r="G5" s="1567" t="s">
        <v>644</v>
      </c>
      <c r="H5" s="479"/>
      <c r="I5" s="479"/>
      <c r="J5" s="227"/>
      <c r="K5" s="481"/>
      <c r="AF5" s="1552">
        <v>0</v>
      </c>
    </row>
    <row r="6" spans="1:32" ht="18.75" hidden="1" customHeight="1">
      <c r="B6" s="5312"/>
      <c r="C6" s="1088"/>
      <c r="D6" s="1559"/>
      <c r="E6" s="484" t="str">
        <f>B2&amp;".3"</f>
        <v>.3</v>
      </c>
      <c r="F6" s="491" t="s">
        <v>645</v>
      </c>
      <c r="G6" s="1567" t="s">
        <v>644</v>
      </c>
      <c r="H6" s="479"/>
      <c r="I6" s="479"/>
      <c r="J6" s="227"/>
      <c r="K6" s="481"/>
      <c r="AF6" s="1552">
        <v>0</v>
      </c>
    </row>
    <row r="7" spans="1:32" ht="18.75" hidden="1" customHeight="1">
      <c r="B7" s="5312"/>
      <c r="C7" s="1088"/>
      <c r="D7" s="1559"/>
      <c r="E7" s="484" t="str">
        <f>B2&amp;".4"</f>
        <v>.4</v>
      </c>
      <c r="F7" s="491" t="s">
        <v>646</v>
      </c>
      <c r="G7" s="1567" t="s">
        <v>638</v>
      </c>
      <c r="H7" s="493"/>
      <c r="I7" s="493"/>
      <c r="J7" s="227"/>
      <c r="K7" s="481"/>
      <c r="AF7" s="1552">
        <v>0</v>
      </c>
    </row>
    <row r="8" spans="1:32" s="4274" customFormat="1" ht="11.25" hidden="1" customHeight="1">
      <c r="A8" s="913"/>
      <c r="C8" s="1557"/>
      <c r="D8" s="475"/>
      <c r="H8" s="1081">
        <v>4</v>
      </c>
      <c r="I8" s="1081">
        <v>4</v>
      </c>
      <c r="L8" s="1557"/>
      <c r="M8" s="1557"/>
      <c r="R8" s="1557"/>
      <c r="AF8" s="1081">
        <v>0</v>
      </c>
    </row>
    <row r="9" spans="1:32" s="4274" customFormat="1" ht="22.5" hidden="1" customHeight="1">
      <c r="A9" s="913"/>
      <c r="C9" s="1557"/>
      <c r="D9" s="476"/>
      <c r="E9" s="1569"/>
      <c r="F9" s="478"/>
      <c r="G9" s="1567" t="s">
        <v>644</v>
      </c>
      <c r="H9" s="479"/>
      <c r="I9" s="479"/>
      <c r="J9" s="480" t="s">
        <v>647</v>
      </c>
      <c r="K9" s="481"/>
      <c r="L9" s="1557"/>
      <c r="M9" s="1557"/>
      <c r="R9" s="1557"/>
      <c r="U9" s="482"/>
      <c r="AA9" s="1553"/>
      <c r="AB9" s="1553"/>
      <c r="AC9" s="1553"/>
      <c r="AD9" s="1553"/>
      <c r="AE9" s="1553"/>
      <c r="AF9" s="1081">
        <v>0</v>
      </c>
    </row>
    <row r="10" spans="1:32" ht="11.25" hidden="1" customHeight="1">
      <c r="AF10" s="1552">
        <v>0</v>
      </c>
    </row>
    <row r="11" spans="1:32" ht="18.75" hidden="1" customHeight="1">
      <c r="D11" s="1559"/>
      <c r="E11" s="484"/>
      <c r="F11" s="478"/>
      <c r="G11" s="1567" t="s">
        <v>648</v>
      </c>
      <c r="H11" s="479"/>
      <c r="I11" s="479"/>
      <c r="J11" s="227" t="s">
        <v>649</v>
      </c>
      <c r="K11" s="481"/>
      <c r="AF11" s="1552">
        <v>0</v>
      </c>
    </row>
    <row r="12" spans="1:32" ht="11.25" hidden="1" customHeight="1">
      <c r="AF12" s="1552">
        <v>0</v>
      </c>
    </row>
    <row r="13" spans="1:32" ht="22.5" hidden="1" customHeight="1">
      <c r="D13" s="1559"/>
      <c r="E13" s="484"/>
      <c r="F13" s="478"/>
      <c r="G13" s="896" t="s">
        <v>650</v>
      </c>
      <c r="H13" s="483"/>
      <c r="I13" s="483"/>
      <c r="J13" s="683" t="s">
        <v>651</v>
      </c>
      <c r="K13" s="481"/>
      <c r="AF13" s="1552">
        <v>0</v>
      </c>
    </row>
    <row r="14" spans="1:32" ht="11.25" hidden="1" customHeight="1">
      <c r="AF14" s="1552">
        <v>0</v>
      </c>
    </row>
    <row r="15" spans="1:32" ht="22.5" hidden="1" customHeight="1">
      <c r="D15" s="1559"/>
      <c r="E15" s="484"/>
      <c r="F15" s="478"/>
      <c r="G15" s="1567" t="s">
        <v>652</v>
      </c>
      <c r="H15" s="483"/>
      <c r="I15" s="483"/>
      <c r="J15" s="227" t="s">
        <v>653</v>
      </c>
      <c r="K15" s="481"/>
      <c r="AF15" s="1552">
        <v>0</v>
      </c>
    </row>
    <row r="16" spans="1:32" ht="11.25" hidden="1" customHeight="1">
      <c r="AF16" s="1552">
        <v>0</v>
      </c>
    </row>
    <row r="17" spans="1:32" ht="22.5" hidden="1" customHeight="1">
      <c r="D17" s="1559"/>
      <c r="E17" s="484"/>
      <c r="F17" s="478"/>
      <c r="G17" s="1567" t="s">
        <v>654</v>
      </c>
      <c r="H17" s="483"/>
      <c r="I17" s="483"/>
      <c r="J17" s="227" t="s">
        <v>655</v>
      </c>
      <c r="K17" s="481"/>
      <c r="AF17" s="1552">
        <v>0</v>
      </c>
    </row>
    <row r="18" spans="1:32" ht="11.25" hidden="1" customHeight="1">
      <c r="AF18" s="1552">
        <v>0</v>
      </c>
    </row>
    <row r="19" spans="1:32" s="4265" customFormat="1" ht="11.25" hidden="1" customHeight="1">
      <c r="A19" s="913"/>
      <c r="B19" s="1081"/>
      <c r="C19" s="1557"/>
      <c r="D19" s="300"/>
      <c r="J19" s="1553">
        <v>4</v>
      </c>
      <c r="K19" s="1081"/>
      <c r="L19" s="1557"/>
      <c r="M19" s="1557"/>
      <c r="N19" s="1081"/>
      <c r="O19" s="1081"/>
      <c r="P19" s="1081"/>
      <c r="Q19" s="1081"/>
      <c r="R19" s="1557"/>
      <c r="S19" s="1081"/>
      <c r="T19" s="1081"/>
      <c r="U19" s="482"/>
      <c r="V19" s="1081"/>
      <c r="W19" s="1081"/>
      <c r="X19" s="1081"/>
      <c r="Y19" s="1081"/>
      <c r="Z19" s="1081"/>
      <c r="AF19" s="1553">
        <v>0</v>
      </c>
    </row>
    <row r="20" spans="1:32" ht="11.45" customHeight="1">
      <c r="AF20" s="1552">
        <v>11</v>
      </c>
    </row>
    <row r="21" spans="1:32" ht="25.15" customHeight="1">
      <c r="E21" s="5450"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5450"/>
      <c r="G21" s="5450"/>
      <c r="H21" s="5450"/>
      <c r="I21" s="5450"/>
      <c r="J21" s="494"/>
      <c r="AF21" s="1552">
        <v>24</v>
      </c>
    </row>
    <row r="22" spans="1:32" ht="25.15" customHeight="1">
      <c r="E22" s="5423" t="str">
        <f>IF(org=0,"Не определено",org)</f>
        <v>КГУП "Примтеплоэнерго"</v>
      </c>
      <c r="F22" s="5423"/>
      <c r="G22" s="5423"/>
      <c r="H22" s="5423"/>
      <c r="I22" s="5423"/>
      <c r="AF22" s="1552">
        <v>24</v>
      </c>
    </row>
    <row r="23" spans="1:32" ht="11.45" customHeight="1">
      <c r="E23" s="1056"/>
      <c r="F23" s="1056"/>
      <c r="G23" s="1056"/>
      <c r="H23" s="1056"/>
      <c r="I23" s="1056"/>
      <c r="AF23" s="1552">
        <v>11</v>
      </c>
    </row>
    <row r="24" spans="1:32" s="4275" customFormat="1" ht="1.1499999999999999" customHeight="1">
      <c r="A24" s="1088"/>
      <c r="D24" s="1563"/>
      <c r="H24" s="816"/>
      <c r="I24" s="816" t="s">
        <v>149</v>
      </c>
      <c r="AF24" s="1557">
        <v>1</v>
      </c>
    </row>
    <row r="25" spans="1:32" ht="11.45" customHeight="1">
      <c r="E25" s="649"/>
      <c r="F25" s="5559" t="s">
        <v>141</v>
      </c>
      <c r="G25" s="5560"/>
      <c r="H25" s="1573" t="str">
        <f>IF(H24="","",INDEX(DIFFERENTIATION_UNMERGE_VD,MATCH(H24,DIFFERENTIATION_ID_DIFF,0)))</f>
        <v/>
      </c>
      <c r="I25" s="1573">
        <f>IF(I24="","",INDEX(DIFFERENTIATION_UNMERGE_VD,MATCH(I24,DIFFERENTIATION_ID_DIFF,0)))</f>
        <v>0</v>
      </c>
      <c r="J25" s="5328"/>
      <c r="AF25" s="1552">
        <v>11</v>
      </c>
    </row>
    <row r="26" spans="1:32" ht="11.45" customHeight="1">
      <c r="E26" s="649"/>
      <c r="F26" s="5559" t="s">
        <v>656</v>
      </c>
      <c r="G26" s="5560"/>
      <c r="H26" s="1573" t="str">
        <f>IF(H24="","",INDEX(DIFFERENTIATION_UNMERGE_AREA,MATCH(H24,DIFFERENTIATION_ID_DIFF,0)))</f>
        <v/>
      </c>
      <c r="I26" s="1573" t="str">
        <f>IF(I24="","",INDEX(DIFFERENTIATION_UNMERGE_AREA,MATCH(I24,DIFFERENTIATION_ID_DIFF,0)))</f>
        <v/>
      </c>
      <c r="J26" s="5328"/>
      <c r="AF26" s="1552">
        <v>11</v>
      </c>
    </row>
    <row r="27" spans="1:32" ht="11.45" customHeight="1">
      <c r="E27" s="649"/>
      <c r="F27" s="5559" t="s">
        <v>657</v>
      </c>
      <c r="G27" s="5560"/>
      <c r="H27" s="1573" t="str">
        <f>IF(H24="","",INDEX(DIFFERENTIATION_UNMERGE_SYSTEM,MATCH(H24,DIFFERENTIATION_ID_DIFF,0)))</f>
        <v/>
      </c>
      <c r="I27" s="1573" t="str">
        <f>IF(I24="","",INDEX(DIFFERENTIATION_UNMERGE_SYSTEM,MATCH(I24,DIFFERENTIATION_ID_DIFF,0)))</f>
        <v>без дифференциации</v>
      </c>
      <c r="J27" s="5328"/>
      <c r="AF27" s="1552">
        <v>11</v>
      </c>
    </row>
    <row r="28" spans="1:32" ht="11.45" customHeight="1">
      <c r="E28" s="5561" t="s">
        <v>393</v>
      </c>
      <c r="F28" s="5562"/>
      <c r="G28" s="5562"/>
      <c r="H28" s="1566"/>
      <c r="I28" s="1566"/>
      <c r="J28" s="5328"/>
      <c r="AF28" s="1552">
        <v>11</v>
      </c>
    </row>
    <row r="29" spans="1:32" ht="24" customHeight="1">
      <c r="E29" s="1567" t="s">
        <v>88</v>
      </c>
      <c r="F29" s="1574" t="s">
        <v>395</v>
      </c>
      <c r="G29" s="1574" t="s">
        <v>658</v>
      </c>
      <c r="H29" s="1574" t="s">
        <v>396</v>
      </c>
      <c r="I29" s="1574" t="s">
        <v>396</v>
      </c>
      <c r="J29" s="5328"/>
      <c r="AF29" s="1552">
        <v>23</v>
      </c>
    </row>
    <row r="30" spans="1:32" ht="19.899999999999999" customHeight="1">
      <c r="D30" s="1559"/>
      <c r="E30" s="484">
        <f>FHD_NUM_P_1</f>
        <v>1</v>
      </c>
      <c r="F30" s="1798" t="str">
        <f>FHD_P_1</f>
        <v>Выручка от регулируемых видов деятельности в сфере водоотведения</v>
      </c>
      <c r="G30" s="1796" t="s">
        <v>644</v>
      </c>
      <c r="H30" s="495"/>
      <c r="I30" s="495"/>
      <c r="J30" s="227" t="str">
        <f>FHD_NOTE_P_1</f>
        <v>Указывается выручка с распределением по видам деятельности.</v>
      </c>
      <c r="K30" s="481"/>
      <c r="AF30" s="1552">
        <v>19</v>
      </c>
    </row>
    <row r="31" spans="1:32" ht="11.45" customHeight="1">
      <c r="D31" s="1559"/>
      <c r="E31" s="484">
        <f>FHD_NUM_P_2</f>
        <v>2</v>
      </c>
      <c r="F31" s="1798" t="str">
        <f>FHD_P_2</f>
        <v>Себестоимость производимых товаров (оказываемых услуг) по регулируемым видам деятельности в сфере водоотведения, включая:</v>
      </c>
      <c r="G31" s="1796" t="s">
        <v>644</v>
      </c>
      <c r="H31" s="496">
        <f>SUMIF($K33:$K71,$K31,H33:H71)</f>
        <v>0</v>
      </c>
      <c r="I31" s="496">
        <f>SUMIF($K33:$K71,$K31,I33:I71)</f>
        <v>0</v>
      </c>
      <c r="J31" s="227" t="str">
        <f>FHD_NOTE_P_2</f>
        <v>Указывается суммарная себестоимость производимых товаров.</v>
      </c>
      <c r="K31" s="1557" t="s">
        <v>659</v>
      </c>
      <c r="AF31" s="1552">
        <v>11</v>
      </c>
    </row>
    <row r="32" spans="1:32" ht="11.45" customHeight="1">
      <c r="D32" s="1559"/>
      <c r="E32" s="484" t="str">
        <f>FHD_NUM_P_3</f>
        <v>2.1</v>
      </c>
      <c r="F32" s="1445" t="str">
        <f>FHD_P_3</f>
        <v>Расходы на оплату услуг по приему, транспортировке и очистке сточных вод другими организациями</v>
      </c>
      <c r="G32" s="1796" t="s">
        <v>644</v>
      </c>
      <c r="H32" s="495"/>
      <c r="I32" s="495"/>
      <c r="J32" s="227" t="str">
        <f>FHD_NOTE_P_3</f>
        <v/>
      </c>
      <c r="K32" s="1557" t="str">
        <f t="shared" ref="K32:K70" si="0">IF((LEN(E32)-LEN(SUBSTITUTE(E32,".","")))/LEN(".")=1,"p","")</f>
        <v>p</v>
      </c>
      <c r="AF32" s="1552">
        <v>11</v>
      </c>
    </row>
    <row r="33" spans="1:32" ht="11.25" hidden="1" customHeight="1">
      <c r="A33" s="5557" t="s">
        <v>660</v>
      </c>
      <c r="D33" s="1559"/>
      <c r="E33" s="484" t="str">
        <f>FHD_NUM_P_4</f>
        <v/>
      </c>
      <c r="F33" s="1445" t="str">
        <f>FHD_P_4</f>
        <v/>
      </c>
      <c r="G33" s="1796" t="s">
        <v>644</v>
      </c>
      <c r="H33" s="496">
        <f>SUMIF($F34:$F40,$F3,H34:H40)</f>
        <v>0</v>
      </c>
      <c r="I33" s="496">
        <f>SUMIF($F34:$F40,$F3,I34:I40)</f>
        <v>0</v>
      </c>
      <c r="J33" s="227" t="str">
        <f>FHD_NOTE_P_4</f>
        <v/>
      </c>
      <c r="K33" s="1557" t="str">
        <f t="shared" si="0"/>
        <v/>
      </c>
      <c r="AF33" s="1552">
        <v>0</v>
      </c>
    </row>
    <row r="34" spans="1:32" s="4299" customFormat="1" ht="0.75" hidden="1" customHeight="1">
      <c r="A34" s="5557"/>
      <c r="B34" s="5558" t="str">
        <f>E33&amp;".0"</f>
        <v>.0</v>
      </c>
      <c r="C34" s="1088"/>
      <c r="D34" s="498"/>
      <c r="E34" s="499"/>
      <c r="F34" s="500"/>
      <c r="G34" s="501"/>
      <c r="H34" s="435"/>
      <c r="I34" s="435"/>
      <c r="J34" s="502"/>
      <c r="K34" s="1557" t="str">
        <f t="shared" si="0"/>
        <v/>
      </c>
      <c r="L34" s="1557"/>
      <c r="M34" s="1557"/>
      <c r="N34" s="1557"/>
      <c r="O34" s="1557"/>
      <c r="P34" s="1557"/>
      <c r="Q34" s="1557"/>
      <c r="R34" s="1557"/>
      <c r="S34" s="1557"/>
      <c r="T34" s="1557"/>
      <c r="U34" s="503"/>
      <c r="V34" s="1557"/>
      <c r="W34" s="1557"/>
      <c r="X34" s="1557"/>
      <c r="Y34" s="1557"/>
      <c r="Z34" s="1557"/>
      <c r="AA34" s="504"/>
      <c r="AB34" s="504"/>
      <c r="AC34" s="504"/>
      <c r="AD34" s="504"/>
      <c r="AE34" s="504"/>
      <c r="AF34" s="1562">
        <v>0</v>
      </c>
    </row>
    <row r="35" spans="1:32" s="4299" customFormat="1" ht="0.75" hidden="1" customHeight="1">
      <c r="A35" s="5557"/>
      <c r="B35" s="5558"/>
      <c r="C35" s="1088"/>
      <c r="D35" s="498"/>
      <c r="E35" s="505"/>
      <c r="F35" s="506"/>
      <c r="G35" s="501"/>
      <c r="H35" s="507"/>
      <c r="I35" s="507"/>
      <c r="J35" s="502"/>
      <c r="K35" s="1557" t="str">
        <f t="shared" si="0"/>
        <v/>
      </c>
      <c r="L35" s="1557"/>
      <c r="M35" s="1557"/>
      <c r="N35" s="1557"/>
      <c r="O35" s="1557"/>
      <c r="P35" s="1557"/>
      <c r="Q35" s="1557"/>
      <c r="R35" s="1557"/>
      <c r="S35" s="1557"/>
      <c r="T35" s="1557"/>
      <c r="U35" s="503"/>
      <c r="V35" s="1557"/>
      <c r="W35" s="1557"/>
      <c r="X35" s="1557"/>
      <c r="Y35" s="1557"/>
      <c r="Z35" s="1557"/>
      <c r="AA35" s="504"/>
      <c r="AB35" s="504"/>
      <c r="AC35" s="504"/>
      <c r="AD35" s="504"/>
      <c r="AE35" s="504"/>
      <c r="AF35" s="1562">
        <v>0</v>
      </c>
    </row>
    <row r="36" spans="1:32" s="4299" customFormat="1" ht="0.75" hidden="1" customHeight="1">
      <c r="A36" s="5557"/>
      <c r="B36" s="5558"/>
      <c r="C36" s="1088"/>
      <c r="D36" s="498"/>
      <c r="E36" s="505"/>
      <c r="F36" s="506"/>
      <c r="G36" s="501"/>
      <c r="H36" s="507"/>
      <c r="I36" s="507"/>
      <c r="J36" s="502"/>
      <c r="K36" s="1557" t="str">
        <f t="shared" si="0"/>
        <v/>
      </c>
      <c r="L36" s="1557"/>
      <c r="M36" s="1557"/>
      <c r="N36" s="1557"/>
      <c r="O36" s="1557"/>
      <c r="P36" s="1557"/>
      <c r="Q36" s="1557"/>
      <c r="R36" s="1557"/>
      <c r="S36" s="1557"/>
      <c r="T36" s="1557"/>
      <c r="U36" s="503"/>
      <c r="V36" s="1557"/>
      <c r="W36" s="1557"/>
      <c r="X36" s="1557"/>
      <c r="Y36" s="1557"/>
      <c r="Z36" s="1557"/>
      <c r="AA36" s="504"/>
      <c r="AB36" s="504"/>
      <c r="AC36" s="504"/>
      <c r="AD36" s="504"/>
      <c r="AE36" s="504"/>
      <c r="AF36" s="1562">
        <v>0</v>
      </c>
    </row>
    <row r="37" spans="1:32" s="4299" customFormat="1" ht="0.75" hidden="1" customHeight="1">
      <c r="A37" s="5557"/>
      <c r="B37" s="5558"/>
      <c r="C37" s="1088"/>
      <c r="D37" s="498"/>
      <c r="E37" s="505"/>
      <c r="F37" s="506"/>
      <c r="G37" s="501"/>
      <c r="H37" s="507"/>
      <c r="I37" s="507"/>
      <c r="J37" s="502"/>
      <c r="K37" s="1557" t="str">
        <f t="shared" si="0"/>
        <v/>
      </c>
      <c r="L37" s="1557"/>
      <c r="M37" s="1557"/>
      <c r="N37" s="1557"/>
      <c r="O37" s="1557"/>
      <c r="P37" s="1557"/>
      <c r="Q37" s="1557"/>
      <c r="R37" s="1557"/>
      <c r="S37" s="1557"/>
      <c r="T37" s="1557"/>
      <c r="U37" s="503"/>
      <c r="V37" s="1557"/>
      <c r="W37" s="1557"/>
      <c r="X37" s="1557"/>
      <c r="Y37" s="1557"/>
      <c r="Z37" s="1557"/>
      <c r="AA37" s="504"/>
      <c r="AB37" s="504"/>
      <c r="AC37" s="504"/>
      <c r="AD37" s="504"/>
      <c r="AE37" s="504"/>
      <c r="AF37" s="1562">
        <v>0</v>
      </c>
    </row>
    <row r="38" spans="1:32" s="4299" customFormat="1" ht="0.75" hidden="1" customHeight="1">
      <c r="A38" s="5557"/>
      <c r="B38" s="5558"/>
      <c r="C38" s="1088"/>
      <c r="D38" s="498"/>
      <c r="E38" s="505"/>
      <c r="F38" s="506"/>
      <c r="G38" s="501"/>
      <c r="H38" s="507"/>
      <c r="I38" s="507"/>
      <c r="J38" s="502"/>
      <c r="K38" s="1557" t="str">
        <f t="shared" si="0"/>
        <v/>
      </c>
      <c r="L38" s="1557"/>
      <c r="M38" s="1557"/>
      <c r="N38" s="1557"/>
      <c r="O38" s="1557"/>
      <c r="P38" s="1557"/>
      <c r="Q38" s="1557"/>
      <c r="R38" s="1557"/>
      <c r="S38" s="1557"/>
      <c r="T38" s="1557"/>
      <c r="U38" s="503"/>
      <c r="V38" s="1557"/>
      <c r="W38" s="1557"/>
      <c r="X38" s="1557"/>
      <c r="Y38" s="1557"/>
      <c r="Z38" s="1557"/>
      <c r="AA38" s="504"/>
      <c r="AB38" s="504"/>
      <c r="AC38" s="504"/>
      <c r="AD38" s="504"/>
      <c r="AE38" s="504"/>
      <c r="AF38" s="1562">
        <v>0</v>
      </c>
    </row>
    <row r="39" spans="1:32" s="4299" customFormat="1" ht="0.75" hidden="1" customHeight="1">
      <c r="A39" s="5557"/>
      <c r="B39" s="5558"/>
      <c r="C39" s="1088"/>
      <c r="D39" s="498"/>
      <c r="E39" s="505"/>
      <c r="F39" s="506"/>
      <c r="G39" s="501"/>
      <c r="H39" s="435"/>
      <c r="I39" s="435"/>
      <c r="J39" s="502"/>
      <c r="K39" s="1557" t="str">
        <f t="shared" si="0"/>
        <v/>
      </c>
      <c r="L39" s="1557"/>
      <c r="M39" s="1557"/>
      <c r="N39" s="1557"/>
      <c r="O39" s="1557"/>
      <c r="P39" s="1557"/>
      <c r="Q39" s="1557"/>
      <c r="R39" s="1557"/>
      <c r="S39" s="1557"/>
      <c r="T39" s="1557"/>
      <c r="U39" s="503"/>
      <c r="V39" s="1557"/>
      <c r="W39" s="1557"/>
      <c r="X39" s="1557"/>
      <c r="Y39" s="1557"/>
      <c r="Z39" s="1557"/>
      <c r="AA39" s="504"/>
      <c r="AB39" s="504"/>
      <c r="AC39" s="504"/>
      <c r="AD39" s="504"/>
      <c r="AE39" s="504"/>
      <c r="AF39" s="1562">
        <v>0</v>
      </c>
    </row>
    <row r="40" spans="1:32" s="4274" customFormat="1" ht="15" hidden="1" customHeight="1">
      <c r="A40" s="5557"/>
      <c r="C40" s="1557"/>
      <c r="D40" s="1554"/>
      <c r="E40" s="508"/>
      <c r="F40" s="509" t="s">
        <v>661</v>
      </c>
      <c r="G40" s="510"/>
      <c r="H40" s="511"/>
      <c r="I40" s="511"/>
      <c r="J40" s="239"/>
      <c r="K40" s="1557" t="str">
        <f t="shared" si="0"/>
        <v/>
      </c>
      <c r="L40" s="1557"/>
      <c r="M40" s="1557"/>
      <c r="R40" s="1557"/>
      <c r="U40" s="482"/>
      <c r="AA40" s="1553"/>
      <c r="AB40" s="1553"/>
      <c r="AC40" s="1553"/>
      <c r="AD40" s="1553"/>
      <c r="AE40" s="1553"/>
      <c r="AF40" s="1081">
        <v>0</v>
      </c>
    </row>
    <row r="41" spans="1:32" ht="11.25" hidden="1" customHeight="1">
      <c r="A41" s="5557" t="s">
        <v>662</v>
      </c>
      <c r="D41" s="1559"/>
      <c r="E41" s="484" t="str">
        <f>FHD_NUM_P_5</f>
        <v/>
      </c>
      <c r="F41" s="1445" t="str">
        <f>FHD_P_5</f>
        <v/>
      </c>
      <c r="G41" s="1796" t="s">
        <v>644</v>
      </c>
      <c r="H41" s="495"/>
      <c r="I41" s="495"/>
      <c r="J41" s="227" t="str">
        <f>FHD_NOTE_P_5</f>
        <v/>
      </c>
      <c r="K41" s="1557" t="str">
        <f t="shared" si="0"/>
        <v/>
      </c>
      <c r="AF41" s="1552">
        <v>0</v>
      </c>
    </row>
    <row r="42" spans="1:32" ht="11.25" hidden="1" customHeight="1">
      <c r="A42" s="5557"/>
      <c r="D42" s="1559"/>
      <c r="E42" s="484" t="str">
        <f>FHD_NUM_P_6</f>
        <v/>
      </c>
      <c r="F42" s="1445" t="str">
        <f>FHD_P_6</f>
        <v/>
      </c>
      <c r="G42" s="1796" t="s">
        <v>644</v>
      </c>
      <c r="H42" s="495"/>
      <c r="I42" s="495"/>
      <c r="J42" s="227" t="str">
        <f>FHD_NOTE_P_6</f>
        <v/>
      </c>
      <c r="K42" s="1557" t="str">
        <f t="shared" si="0"/>
        <v/>
      </c>
      <c r="AF42" s="1552">
        <v>0</v>
      </c>
    </row>
    <row r="43" spans="1:32" ht="11.25" hidden="1" customHeight="1">
      <c r="A43" s="5557"/>
      <c r="D43" s="1559"/>
      <c r="E43" s="484" t="str">
        <f>FHD_NUM_P_7</f>
        <v/>
      </c>
      <c r="F43" s="1445" t="str">
        <f>FHD_P_7</f>
        <v/>
      </c>
      <c r="G43" s="1796" t="s">
        <v>644</v>
      </c>
      <c r="H43" s="495"/>
      <c r="I43" s="495"/>
      <c r="J43" s="227" t="str">
        <f>FHD_NOTE_P_7</f>
        <v/>
      </c>
      <c r="K43" s="1557" t="str">
        <f t="shared" si="0"/>
        <v/>
      </c>
      <c r="AF43" s="1552">
        <v>0</v>
      </c>
    </row>
    <row r="44" spans="1:32" ht="11.45" customHeight="1">
      <c r="D44" s="1559"/>
      <c r="E44" s="484" t="str">
        <f>FHD_NUM_P_8</f>
        <v>2.2</v>
      </c>
      <c r="F44" s="1445" t="str">
        <f>FHD_P_8</f>
        <v>Расходы на приобретаемую электрическую энергию (мощность), используемую в технологическом процессе</v>
      </c>
      <c r="G44" s="1796" t="s">
        <v>644</v>
      </c>
      <c r="H44" s="495"/>
      <c r="I44" s="495"/>
      <c r="J44" s="227" t="str">
        <f>FHD_NOTE_P_8</f>
        <v/>
      </c>
      <c r="K44" s="1557" t="str">
        <f t="shared" si="0"/>
        <v>p</v>
      </c>
      <c r="AF44" s="1552">
        <v>11</v>
      </c>
    </row>
    <row r="45" spans="1:32" ht="11.45" customHeight="1">
      <c r="D45" s="1559"/>
      <c r="E45" s="484" t="str">
        <f>FHD_NUM_P_9</f>
        <v>2.2.1</v>
      </c>
      <c r="F45" s="1571" t="str">
        <f>FHD_P_9</f>
        <v>Средневзвешенная стоимость 1 кВт.ч (с учетом мощности)</v>
      </c>
      <c r="G45" s="1796" t="s">
        <v>663</v>
      </c>
      <c r="H45" s="495"/>
      <c r="I45" s="495"/>
      <c r="J45" s="227" t="str">
        <f>FHD_NOTE_P_9</f>
        <v/>
      </c>
      <c r="K45" s="1557" t="str">
        <f t="shared" si="0"/>
        <v/>
      </c>
      <c r="AF45" s="1552">
        <v>11</v>
      </c>
    </row>
    <row r="46" spans="1:32" s="4274" customFormat="1" ht="11.45" customHeight="1">
      <c r="A46" s="913"/>
      <c r="C46" s="1557"/>
      <c r="D46" s="512"/>
      <c r="E46" s="484" t="str">
        <f>FHD_NUM_P_10</f>
        <v>2.2.2</v>
      </c>
      <c r="F46" s="1571" t="str">
        <f>FHD_P_10</f>
        <v>Объём приобретения электрической энергии</v>
      </c>
      <c r="G46" s="1796" t="s">
        <v>664</v>
      </c>
      <c r="H46" s="495"/>
      <c r="I46" s="495"/>
      <c r="J46" s="227" t="str">
        <f>FHD_NOTE_P_10</f>
        <v/>
      </c>
      <c r="K46" s="1557" t="str">
        <f t="shared" si="0"/>
        <v/>
      </c>
      <c r="L46" s="1557"/>
      <c r="M46" s="1557"/>
      <c r="R46" s="1557"/>
      <c r="U46" s="482"/>
      <c r="AA46" s="1553"/>
      <c r="AB46" s="1553"/>
      <c r="AC46" s="1553"/>
      <c r="AD46" s="1553"/>
      <c r="AE46" s="1553"/>
      <c r="AF46" s="1081">
        <v>11</v>
      </c>
    </row>
    <row r="47" spans="1:32" s="4274" customFormat="1" ht="11.25" hidden="1" customHeight="1">
      <c r="A47" s="915" t="s">
        <v>665</v>
      </c>
      <c r="C47" s="1557"/>
      <c r="D47" s="513"/>
      <c r="E47" s="484" t="str">
        <f>FHD_NUM_P_11</f>
        <v/>
      </c>
      <c r="F47" s="1445" t="str">
        <f>FHD_P_11</f>
        <v/>
      </c>
      <c r="G47" s="1796" t="s">
        <v>644</v>
      </c>
      <c r="H47" s="495"/>
      <c r="I47" s="495"/>
      <c r="J47" s="227" t="str">
        <f>FHD_NOTE_P_11</f>
        <v/>
      </c>
      <c r="K47" s="1557" t="str">
        <f t="shared" si="0"/>
        <v/>
      </c>
      <c r="L47" s="1557"/>
      <c r="M47" s="1557"/>
      <c r="R47" s="1557"/>
      <c r="U47" s="482"/>
      <c r="AA47" s="1553"/>
      <c r="AB47" s="1553"/>
      <c r="AC47" s="1553"/>
      <c r="AD47" s="1553"/>
      <c r="AE47" s="1553"/>
      <c r="AF47" s="1081">
        <v>0</v>
      </c>
    </row>
    <row r="48" spans="1:32" s="4274" customFormat="1" ht="18.75" customHeight="1">
      <c r="A48" s="915" t="s">
        <v>666</v>
      </c>
      <c r="C48" s="1557"/>
      <c r="D48" s="1559"/>
      <c r="E48" s="484" t="str">
        <f>FHD_NUM_P_12</f>
        <v>2.3</v>
      </c>
      <c r="F48" s="1445" t="str">
        <f>FHD_P_12</f>
        <v>Расходы на химические реагенты, используемые в технологическом процессе</v>
      </c>
      <c r="G48" s="1796" t="s">
        <v>644</v>
      </c>
      <c r="H48" s="515"/>
      <c r="I48" s="515"/>
      <c r="J48" s="227" t="str">
        <f>FHD_NOTE_P_12</f>
        <v/>
      </c>
      <c r="K48" s="1557" t="str">
        <f t="shared" si="0"/>
        <v>p</v>
      </c>
      <c r="L48" s="1557"/>
      <c r="M48" s="1557"/>
      <c r="R48" s="1557"/>
      <c r="U48" s="482"/>
      <c r="AA48" s="1553"/>
      <c r="AB48" s="1553"/>
      <c r="AC48" s="1553"/>
      <c r="AD48" s="1553"/>
      <c r="AE48" s="1553"/>
      <c r="AF48" s="1081">
        <v>18</v>
      </c>
    </row>
    <row r="49" spans="1:32" s="5255" customFormat="1" ht="11.45" customHeight="1">
      <c r="A49" s="914"/>
      <c r="C49" s="668"/>
      <c r="D49" s="611"/>
      <c r="E49" s="484" t="str">
        <f>FHD_NUM_P_13</f>
        <v>2.4</v>
      </c>
      <c r="F49" s="144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6" t="s">
        <v>644</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57" t="str">
        <f t="shared" si="0"/>
        <v>p</v>
      </c>
      <c r="L49" s="668"/>
      <c r="M49" s="668"/>
      <c r="R49" s="668"/>
      <c r="U49" s="669"/>
      <c r="AA49" s="670"/>
      <c r="AB49" s="670"/>
      <c r="AC49" s="670"/>
      <c r="AD49" s="670"/>
      <c r="AE49" s="670"/>
      <c r="AF49" s="667">
        <v>11</v>
      </c>
    </row>
    <row r="50" spans="1:32" s="5255" customFormat="1" ht="11.45" customHeight="1">
      <c r="A50" s="914"/>
      <c r="C50" s="668"/>
      <c r="D50" s="611"/>
      <c r="E50" s="484" t="str">
        <f>FHD_NUM_P_14</f>
        <v>2.4.1</v>
      </c>
      <c r="F50" s="1571" t="str">
        <f>FHD_P_14</f>
        <v>Расходы на оплату труда основного производственного персонала</v>
      </c>
      <c r="G50" s="1796" t="s">
        <v>644</v>
      </c>
      <c r="H50" s="495"/>
      <c r="I50" s="495"/>
      <c r="J50" s="227" t="str">
        <f>FHD_NOTE_P_14</f>
        <v/>
      </c>
      <c r="K50" s="1557" t="str">
        <f t="shared" si="0"/>
        <v/>
      </c>
      <c r="L50" s="668"/>
      <c r="M50" s="668"/>
      <c r="R50" s="668"/>
      <c r="U50" s="669"/>
      <c r="AA50" s="670"/>
      <c r="AB50" s="670"/>
      <c r="AC50" s="670"/>
      <c r="AD50" s="670"/>
      <c r="AE50" s="670"/>
      <c r="AF50" s="667">
        <v>11</v>
      </c>
    </row>
    <row r="51" spans="1:32" s="5255" customFormat="1" ht="11.45" customHeight="1">
      <c r="A51" s="914"/>
      <c r="C51" s="668"/>
      <c r="D51" s="611"/>
      <c r="E51" s="484" t="str">
        <f>FHD_NUM_P_15</f>
        <v>2.4.2</v>
      </c>
      <c r="F51" s="1571" t="str">
        <f>FHD_P_15</f>
        <v>Страховые взносы на обязательное социальное страхование, выплачиваемые из фонда оплаты труда основного производственного персонала</v>
      </c>
      <c r="G51" s="1796" t="s">
        <v>644</v>
      </c>
      <c r="H51" s="495"/>
      <c r="I51" s="495"/>
      <c r="J51" s="227" t="str">
        <f>FHD_NOTE_P_15</f>
        <v/>
      </c>
      <c r="K51" s="1557" t="str">
        <f t="shared" si="0"/>
        <v/>
      </c>
      <c r="L51" s="668"/>
      <c r="M51" s="668"/>
      <c r="R51" s="668"/>
      <c r="U51" s="669"/>
      <c r="AA51" s="670"/>
      <c r="AB51" s="670"/>
      <c r="AC51" s="670"/>
      <c r="AD51" s="670"/>
      <c r="AE51" s="670"/>
      <c r="AF51" s="667">
        <v>11</v>
      </c>
    </row>
    <row r="52" spans="1:32" s="4274" customFormat="1" ht="11.45" customHeight="1">
      <c r="A52" s="913"/>
      <c r="C52" s="1557"/>
      <c r="D52" s="1559"/>
      <c r="E52" s="484" t="str">
        <f>FHD_NUM_P_16</f>
        <v>2.5</v>
      </c>
      <c r="F52" s="144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6" t="s">
        <v>644</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57" t="str">
        <f t="shared" si="0"/>
        <v>p</v>
      </c>
      <c r="L52" s="1557"/>
      <c r="M52" s="1563"/>
      <c r="N52" s="475"/>
      <c r="O52" s="475"/>
      <c r="R52" s="1557"/>
      <c r="U52" s="482"/>
      <c r="AA52" s="1553"/>
      <c r="AB52" s="1553"/>
      <c r="AC52" s="1553"/>
      <c r="AD52" s="1553"/>
      <c r="AE52" s="1553"/>
      <c r="AF52" s="1081">
        <v>11</v>
      </c>
    </row>
    <row r="53" spans="1:32" s="4274" customFormat="1" ht="11.45" customHeight="1">
      <c r="A53" s="913"/>
      <c r="C53" s="1557"/>
      <c r="D53" s="1559"/>
      <c r="E53" s="484" t="str">
        <f>FHD_NUM_P_17</f>
        <v>2.5.1</v>
      </c>
      <c r="F53" s="1571" t="str">
        <f>FHD_P_17</f>
        <v>Расходы на оплату труда административно-управленческого персонала, в том числе:</v>
      </c>
      <c r="G53" s="1796" t="s">
        <v>644</v>
      </c>
      <c r="H53" s="495"/>
      <c r="I53" s="495"/>
      <c r="J53" s="227" t="str">
        <f>FHD_NOTE_P_17</f>
        <v/>
      </c>
      <c r="K53" s="1557" t="str">
        <f t="shared" si="0"/>
        <v/>
      </c>
      <c r="L53" s="1557"/>
      <c r="M53" s="1563"/>
      <c r="N53" s="475"/>
      <c r="O53" s="475"/>
      <c r="R53" s="1557"/>
      <c r="U53" s="482"/>
      <c r="AA53" s="1553"/>
      <c r="AB53" s="1553"/>
      <c r="AC53" s="1553"/>
      <c r="AD53" s="1553"/>
      <c r="AE53" s="1553"/>
      <c r="AF53" s="1081">
        <v>11</v>
      </c>
    </row>
    <row r="54" spans="1:32" s="4274" customFormat="1" ht="11.45" customHeight="1">
      <c r="A54" s="913"/>
      <c r="C54" s="1557"/>
      <c r="D54" s="1559"/>
      <c r="E54" s="484" t="str">
        <f>FHD_NUM_P_18</f>
        <v>2.5.2</v>
      </c>
      <c r="F54" s="157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6" t="s">
        <v>644</v>
      </c>
      <c r="H54" s="495"/>
      <c r="I54" s="495"/>
      <c r="J54" s="227" t="str">
        <f>FHD_NOTE_P_18</f>
        <v/>
      </c>
      <c r="K54" s="1557" t="str">
        <f t="shared" si="0"/>
        <v/>
      </c>
      <c r="L54" s="1557"/>
      <c r="M54" s="1563"/>
      <c r="N54" s="475"/>
      <c r="O54" s="475"/>
      <c r="R54" s="1557"/>
      <c r="U54" s="482"/>
      <c r="AA54" s="1553"/>
      <c r="AB54" s="1553"/>
      <c r="AC54" s="1553"/>
      <c r="AD54" s="1553"/>
      <c r="AE54" s="1553"/>
      <c r="AF54" s="1081">
        <v>11</v>
      </c>
    </row>
    <row r="55" spans="1:32" s="4274" customFormat="1" ht="11.45" customHeight="1">
      <c r="A55" s="913"/>
      <c r="C55" s="1557"/>
      <c r="D55" s="513"/>
      <c r="E55" s="484" t="str">
        <f>FHD_NUM_P_19</f>
        <v>2.6</v>
      </c>
      <c r="F55" s="1445" t="str">
        <f>FHD_P_19</f>
        <v>Расходы на амортизацию основных средств и нематериальных активов</v>
      </c>
      <c r="G55" s="1796" t="s">
        <v>644</v>
      </c>
      <c r="H55" s="495"/>
      <c r="I55" s="495"/>
      <c r="J55" s="227" t="str">
        <f>FHD_NOTE_P_19</f>
        <v/>
      </c>
      <c r="K55" s="1557" t="str">
        <f t="shared" si="0"/>
        <v>p</v>
      </c>
      <c r="L55" s="1557"/>
      <c r="M55" s="1557"/>
      <c r="R55" s="1557"/>
      <c r="U55" s="482"/>
      <c r="AA55" s="1553"/>
      <c r="AB55" s="1553"/>
      <c r="AC55" s="1553"/>
      <c r="AD55" s="1553"/>
      <c r="AE55" s="1553"/>
      <c r="AF55" s="1081">
        <v>11</v>
      </c>
    </row>
    <row r="56" spans="1:32" s="4274" customFormat="1" ht="11.45" customHeight="1">
      <c r="A56" s="913"/>
      <c r="C56" s="1557"/>
      <c r="D56" s="513"/>
      <c r="E56" s="484" t="str">
        <f>FHD_NUM_P_20</f>
        <v>2.6.1</v>
      </c>
      <c r="F56" s="1571" t="str">
        <f>FHD_P_20</f>
        <v>Расходы на амортизацию основных средств</v>
      </c>
      <c r="G56" s="1796" t="s">
        <v>644</v>
      </c>
      <c r="H56" s="495"/>
      <c r="I56" s="495"/>
      <c r="J56" s="227" t="str">
        <f>FHD_NOTE_P_20</f>
        <v/>
      </c>
      <c r="K56" s="1557" t="str">
        <f t="shared" si="0"/>
        <v/>
      </c>
      <c r="L56" s="1557"/>
      <c r="M56" s="1557"/>
      <c r="R56" s="1557"/>
      <c r="U56" s="482"/>
      <c r="AA56" s="1553"/>
      <c r="AB56" s="1553"/>
      <c r="AC56" s="1553"/>
      <c r="AD56" s="1553"/>
      <c r="AE56" s="1553"/>
      <c r="AF56" s="1081">
        <v>11</v>
      </c>
    </row>
    <row r="57" spans="1:32" s="4274" customFormat="1" ht="11.45" customHeight="1">
      <c r="A57" s="913"/>
      <c r="C57" s="1557"/>
      <c r="D57" s="513"/>
      <c r="E57" s="484" t="str">
        <f>FHD_NUM_P_21</f>
        <v>2.6.2</v>
      </c>
      <c r="F57" s="1571" t="str">
        <f>FHD_P_21</f>
        <v>Расходы на амортизацию нематериальных активов</v>
      </c>
      <c r="G57" s="1796" t="s">
        <v>644</v>
      </c>
      <c r="H57" s="495"/>
      <c r="I57" s="495"/>
      <c r="J57" s="227" t="str">
        <f>FHD_NOTE_P_21</f>
        <v/>
      </c>
      <c r="K57" s="1557" t="str">
        <f t="shared" si="0"/>
        <v/>
      </c>
      <c r="L57" s="1557"/>
      <c r="M57" s="1557"/>
      <c r="R57" s="1557"/>
      <c r="U57" s="482"/>
      <c r="AA57" s="1553"/>
      <c r="AB57" s="1553"/>
      <c r="AC57" s="1553"/>
      <c r="AD57" s="1553"/>
      <c r="AE57" s="1553"/>
      <c r="AF57" s="1081">
        <v>11</v>
      </c>
    </row>
    <row r="58" spans="1:32" s="4274" customFormat="1" ht="11.45" customHeight="1">
      <c r="A58" s="913"/>
      <c r="C58" s="1557"/>
      <c r="D58" s="1559"/>
      <c r="E58" s="484" t="str">
        <f>FHD_NUM_P_22</f>
        <v>2.7</v>
      </c>
      <c r="F58" s="1445" t="str">
        <f>FHD_P_22</f>
        <v>Расходы на аренду имущества, используемого для осуществления регулируемых видов деятельности в сфере водоотведения</v>
      </c>
      <c r="G58" s="1796" t="s">
        <v>644</v>
      </c>
      <c r="H58" s="495"/>
      <c r="I58" s="495"/>
      <c r="J58" s="227" t="str">
        <f>FHD_NOTE_P_22</f>
        <v/>
      </c>
      <c r="K58" s="1557" t="str">
        <f t="shared" si="0"/>
        <v>p</v>
      </c>
      <c r="L58" s="1557"/>
      <c r="M58" s="1557"/>
      <c r="R58" s="1557"/>
      <c r="U58" s="482"/>
      <c r="AA58" s="1553"/>
      <c r="AB58" s="1553"/>
      <c r="AC58" s="1553"/>
      <c r="AD58" s="1553"/>
      <c r="AE58" s="1553"/>
      <c r="AF58" s="1081">
        <v>11</v>
      </c>
    </row>
    <row r="59" spans="1:32" s="4274" customFormat="1" ht="11.45" customHeight="1">
      <c r="A59" s="913"/>
      <c r="C59" s="1557"/>
      <c r="D59" s="513"/>
      <c r="E59" s="484" t="str">
        <f>FHD_NUM_P_23</f>
        <v>2.8</v>
      </c>
      <c r="F59" s="1445" t="str">
        <f>FHD_P_23</f>
        <v>Общепроизводственные расходы, в том числе:</v>
      </c>
      <c r="G59" s="1796" t="s">
        <v>644</v>
      </c>
      <c r="H59" s="495"/>
      <c r="I59" s="495"/>
      <c r="J59" s="227" t="str">
        <f>FHD_NOTE_P_23</f>
        <v>Указывается общая сумма общепроизводственных расходов.</v>
      </c>
      <c r="K59" s="1557" t="str">
        <f t="shared" si="0"/>
        <v>p</v>
      </c>
      <c r="L59" s="1557"/>
      <c r="M59" s="1557"/>
      <c r="R59" s="1557"/>
      <c r="U59" s="482"/>
      <c r="AA59" s="1553"/>
      <c r="AB59" s="1553"/>
      <c r="AC59" s="1553"/>
      <c r="AD59" s="1553"/>
      <c r="AE59" s="1553"/>
      <c r="AF59" s="1081">
        <v>11</v>
      </c>
    </row>
    <row r="60" spans="1:32" s="4274" customFormat="1" ht="11.45" customHeight="1">
      <c r="A60" s="913"/>
      <c r="C60" s="1557"/>
      <c r="D60" s="513"/>
      <c r="E60" s="484" t="str">
        <f>FHD_NUM_P_24</f>
        <v>2.8.1</v>
      </c>
      <c r="F60" s="1571" t="str">
        <f>FHD_P_24</f>
        <v>Расходы на текущий ремонт</v>
      </c>
      <c r="G60" s="1796" t="s">
        <v>644</v>
      </c>
      <c r="H60" s="495"/>
      <c r="I60" s="495"/>
      <c r="J60" s="227" t="str">
        <f>FHD_NOTE_P_24</f>
        <v>Указываются расходы на текущий ремонт, отнесенные к общепроизводственным расходам.</v>
      </c>
      <c r="K60" s="1557" t="str">
        <f t="shared" si="0"/>
        <v/>
      </c>
      <c r="L60" s="1557"/>
      <c r="M60" s="1557"/>
      <c r="R60" s="1557"/>
      <c r="U60" s="482"/>
      <c r="AA60" s="1553"/>
      <c r="AB60" s="1553"/>
      <c r="AC60" s="1553"/>
      <c r="AD60" s="1553"/>
      <c r="AE60" s="1553"/>
      <c r="AF60" s="1081">
        <v>11</v>
      </c>
    </row>
    <row r="61" spans="1:32" s="4274" customFormat="1" ht="11.45" customHeight="1">
      <c r="A61" s="913"/>
      <c r="C61" s="1557"/>
      <c r="D61" s="513"/>
      <c r="E61" s="484" t="str">
        <f>FHD_NUM_P_25</f>
        <v>2.8.2</v>
      </c>
      <c r="F61" s="1571" t="str">
        <f>FHD_P_25</f>
        <v>Расходы на капитальный ремонт</v>
      </c>
      <c r="G61" s="1796" t="s">
        <v>644</v>
      </c>
      <c r="H61" s="495"/>
      <c r="I61" s="495"/>
      <c r="J61" s="227" t="str">
        <f>FHD_NOTE_P_25</f>
        <v>Указываются расходы на капитальный ремонт, отнесенные к общепроизводственным расходам.</v>
      </c>
      <c r="K61" s="1557" t="str">
        <f t="shared" si="0"/>
        <v/>
      </c>
      <c r="L61" s="1557"/>
      <c r="M61" s="1557"/>
      <c r="R61" s="1557"/>
      <c r="U61" s="482"/>
      <c r="AA61" s="1553"/>
      <c r="AB61" s="1553"/>
      <c r="AC61" s="1553"/>
      <c r="AD61" s="1553"/>
      <c r="AE61" s="1553"/>
      <c r="AF61" s="1081">
        <v>11</v>
      </c>
    </row>
    <row r="62" spans="1:32" s="4274" customFormat="1" ht="11.45" customHeight="1">
      <c r="A62" s="913"/>
      <c r="C62" s="1557"/>
      <c r="D62" s="1559"/>
      <c r="E62" s="484" t="str">
        <f>FHD_NUM_P_26</f>
        <v>2.9</v>
      </c>
      <c r="F62" s="1445" t="str">
        <f>FHD_P_26</f>
        <v>Общехозяйственные расходы, в том числе:</v>
      </c>
      <c r="G62" s="1796" t="s">
        <v>644</v>
      </c>
      <c r="H62" s="495"/>
      <c r="I62" s="495"/>
      <c r="J62" s="227" t="str">
        <f>FHD_NOTE_P_26</f>
        <v>Указывается общая сумма общехозяйственных расходов.</v>
      </c>
      <c r="K62" s="1557" t="str">
        <f t="shared" si="0"/>
        <v>p</v>
      </c>
      <c r="L62" s="1557"/>
      <c r="M62" s="1557"/>
      <c r="R62" s="1557"/>
      <c r="U62" s="482"/>
      <c r="AA62" s="1553"/>
      <c r="AB62" s="1553"/>
      <c r="AC62" s="1553"/>
      <c r="AD62" s="1553"/>
      <c r="AE62" s="1553"/>
      <c r="AF62" s="1081">
        <v>11</v>
      </c>
    </row>
    <row r="63" spans="1:32" s="4274" customFormat="1" ht="11.45" customHeight="1">
      <c r="A63" s="913"/>
      <c r="C63" s="1557"/>
      <c r="D63" s="1559"/>
      <c r="E63" s="484" t="str">
        <f>FHD_NUM_P_27</f>
        <v>2.9.1</v>
      </c>
      <c r="F63" s="1571" t="str">
        <f>FHD_P_27</f>
        <v>Расходы на текущий ремонт</v>
      </c>
      <c r="G63" s="1796" t="s">
        <v>644</v>
      </c>
      <c r="H63" s="495"/>
      <c r="I63" s="495"/>
      <c r="J63" s="227" t="str">
        <f>FHD_NOTE_P_27</f>
        <v>Указываются расходы на текущий ремонт, отнесенные к общехозяйственным расходам.</v>
      </c>
      <c r="K63" s="1557" t="str">
        <f t="shared" si="0"/>
        <v/>
      </c>
      <c r="L63" s="1557"/>
      <c r="M63" s="1557"/>
      <c r="R63" s="1557"/>
      <c r="U63" s="482"/>
      <c r="AA63" s="1553"/>
      <c r="AB63" s="1553"/>
      <c r="AC63" s="1553"/>
      <c r="AD63" s="1553"/>
      <c r="AE63" s="1553"/>
      <c r="AF63" s="1081">
        <v>11</v>
      </c>
    </row>
    <row r="64" spans="1:32" s="4274" customFormat="1" ht="11.45" customHeight="1">
      <c r="A64" s="913"/>
      <c r="C64" s="1557"/>
      <c r="D64" s="1559"/>
      <c r="E64" s="484" t="str">
        <f>FHD_NUM_P_28</f>
        <v>2.9.2</v>
      </c>
      <c r="F64" s="1571" t="str">
        <f>FHD_P_28</f>
        <v>Расходы на капитальный ремонт</v>
      </c>
      <c r="G64" s="1796" t="s">
        <v>644</v>
      </c>
      <c r="H64" s="495"/>
      <c r="I64" s="495"/>
      <c r="J64" s="227" t="str">
        <f>FHD_NOTE_P_28</f>
        <v>Указываются расходы на капитальный ремонт, отнесенные к общехозяйственным расходам.</v>
      </c>
      <c r="K64" s="1557" t="str">
        <f t="shared" si="0"/>
        <v/>
      </c>
      <c r="L64" s="1557"/>
      <c r="M64" s="1557"/>
      <c r="R64" s="1557"/>
      <c r="U64" s="482"/>
      <c r="AA64" s="1553"/>
      <c r="AB64" s="1553"/>
      <c r="AC64" s="1553"/>
      <c r="AD64" s="1553"/>
      <c r="AE64" s="1553"/>
      <c r="AF64" s="1081">
        <v>11</v>
      </c>
    </row>
    <row r="65" spans="1:32" s="4274" customFormat="1" ht="11.45" customHeight="1">
      <c r="A65" s="913"/>
      <c r="C65" s="1557"/>
      <c r="D65" s="1559"/>
      <c r="E65" s="484" t="str">
        <f>FHD_NUM_P_29</f>
        <v>2.10</v>
      </c>
      <c r="F65" s="1445" t="str">
        <f>FHD_P_29</f>
        <v>Расходы на капитальный и текущий ремонт основных средств</v>
      </c>
      <c r="G65" s="1796" t="s">
        <v>644</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7" t="str">
        <f t="shared" si="0"/>
        <v>p</v>
      </c>
      <c r="L65" s="1557"/>
      <c r="M65" s="1557"/>
      <c r="R65" s="1557"/>
      <c r="U65" s="482"/>
      <c r="AA65" s="1553"/>
      <c r="AB65" s="1553"/>
      <c r="AC65" s="1553"/>
      <c r="AD65" s="1553"/>
      <c r="AE65" s="1553"/>
      <c r="AF65" s="1081">
        <v>11</v>
      </c>
    </row>
    <row r="66" spans="1:32" s="4274" customFormat="1" ht="11.45" customHeight="1">
      <c r="A66" s="913"/>
      <c r="C66" s="1557"/>
      <c r="D66" s="1559"/>
      <c r="E66" s="484" t="str">
        <f>FHD_NUM_P_30</f>
        <v>2.10.1</v>
      </c>
      <c r="F66" s="157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6" t="s">
        <v>399</v>
      </c>
      <c r="H66" s="1570" t="s">
        <v>667</v>
      </c>
      <c r="I66" s="1570" t="s">
        <v>667</v>
      </c>
      <c r="J66" s="227" t="str">
        <f>FHD_NOTE_P_30</f>
        <v/>
      </c>
      <c r="K66" s="1557" t="str">
        <f t="shared" si="0"/>
        <v/>
      </c>
      <c r="L66" s="1557">
        <f>IFERROR(MATCH("есть",B_FHD_FLAG_INDEX_1,0),0)</f>
        <v>0</v>
      </c>
      <c r="M66" s="1557"/>
      <c r="R66" s="1557"/>
      <c r="U66" s="482"/>
      <c r="AA66" s="1553"/>
      <c r="AB66" s="1553"/>
      <c r="AC66" s="1553"/>
      <c r="AD66" s="1553"/>
      <c r="AE66" s="1553"/>
      <c r="AF66" s="1081">
        <v>11</v>
      </c>
    </row>
    <row r="67" spans="1:32" s="4274" customFormat="1" ht="23.25" customHeight="1">
      <c r="A67" s="5557" t="s">
        <v>668</v>
      </c>
      <c r="C67" s="1557"/>
      <c r="D67" s="1559"/>
      <c r="E67" s="484" t="str">
        <f>FHD_NUM_P_31</f>
        <v>2.11</v>
      </c>
      <c r="F67" s="1445"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6" t="s">
        <v>644</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7" t="str">
        <f t="shared" si="0"/>
        <v>p</v>
      </c>
      <c r="L67" s="1557"/>
      <c r="M67" s="1557"/>
      <c r="R67" s="1557"/>
      <c r="U67" s="482"/>
      <c r="AA67" s="1553"/>
      <c r="AB67" s="1553"/>
      <c r="AC67" s="1553"/>
      <c r="AD67" s="1553"/>
      <c r="AE67" s="1553"/>
      <c r="AF67" s="1081">
        <v>22</v>
      </c>
    </row>
    <row r="68" spans="1:32" s="4274" customFormat="1" ht="47.25" customHeight="1">
      <c r="A68" s="5557"/>
      <c r="C68" s="1557"/>
      <c r="D68" s="1559"/>
      <c r="E68" s="484" t="str">
        <f>FHD_NUM_P_32</f>
        <v>2.11.1</v>
      </c>
      <c r="F68" s="1571"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6" t="s">
        <v>399</v>
      </c>
      <c r="H68" s="1570" t="s">
        <v>667</v>
      </c>
      <c r="I68" s="1570" t="s">
        <v>667</v>
      </c>
      <c r="J68" s="227" t="str">
        <f>FHD_NOTE_P_32</f>
        <v/>
      </c>
      <c r="K68" s="1557" t="str">
        <f t="shared" si="0"/>
        <v/>
      </c>
      <c r="L68" s="1557">
        <f>IFERROR(MATCH("есть",B_FHD_FLAG_INDEX_2,0),0)</f>
        <v>0</v>
      </c>
      <c r="M68" s="1557"/>
      <c r="R68" s="1557"/>
      <c r="U68" s="482"/>
      <c r="AA68" s="1553"/>
      <c r="AB68" s="1553"/>
      <c r="AC68" s="1553"/>
      <c r="AD68" s="1553"/>
      <c r="AE68" s="1553"/>
      <c r="AF68" s="1081">
        <v>45</v>
      </c>
    </row>
    <row r="69" spans="1:32" s="4274" customFormat="1" ht="11.45" customHeight="1">
      <c r="A69" s="913"/>
      <c r="C69" s="1557"/>
      <c r="D69" s="1559"/>
      <c r="E69" s="484" t="str">
        <f>FHD_NUM_P_33</f>
        <v>2.12</v>
      </c>
      <c r="F69" s="1445"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7" t="s">
        <v>644</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7" t="str">
        <f t="shared" si="0"/>
        <v>p</v>
      </c>
      <c r="L69" s="1557"/>
      <c r="M69" s="1557"/>
      <c r="R69" s="1557"/>
      <c r="U69" s="482"/>
      <c r="AA69" s="1553"/>
      <c r="AB69" s="1553"/>
      <c r="AC69" s="1553"/>
      <c r="AD69" s="1553"/>
      <c r="AE69" s="1553"/>
      <c r="AF69" s="1081">
        <v>11</v>
      </c>
    </row>
    <row r="70" spans="1:32" s="4275" customFormat="1" ht="1.1499999999999999" customHeight="1">
      <c r="A70" s="1088"/>
      <c r="D70" s="486"/>
      <c r="E70" s="938" t="str">
        <f>E69&amp;".0"</f>
        <v>2.12.0</v>
      </c>
      <c r="F70" s="917"/>
      <c r="G70" s="938"/>
      <c r="H70" s="918"/>
      <c r="I70" s="918"/>
      <c r="J70" s="919"/>
      <c r="K70" s="1557" t="str">
        <f t="shared" si="0"/>
        <v/>
      </c>
      <c r="AF70" s="1557">
        <v>1</v>
      </c>
    </row>
    <row r="71" spans="1:32" s="4274" customFormat="1" ht="14.65" customHeight="1">
      <c r="A71" s="913"/>
      <c r="C71" s="1557"/>
      <c r="D71" s="1554"/>
      <c r="E71" s="508"/>
      <c r="F71" s="509" t="s">
        <v>669</v>
      </c>
      <c r="G71" s="510"/>
      <c r="H71" s="511"/>
      <c r="I71" s="511"/>
      <c r="J71" s="239"/>
      <c r="K71" s="1557"/>
      <c r="L71" s="1557"/>
      <c r="M71" s="1557"/>
      <c r="R71" s="1557"/>
      <c r="U71" s="482"/>
      <c r="AA71" s="1553"/>
      <c r="AB71" s="1553"/>
      <c r="AC71" s="1553"/>
      <c r="AD71" s="1553"/>
      <c r="AE71" s="1553"/>
      <c r="AF71" s="1081">
        <v>14</v>
      </c>
    </row>
    <row r="72" spans="1:32" s="4274" customFormat="1" ht="18.75" hidden="1" customHeight="1">
      <c r="A72" s="915" t="s">
        <v>670</v>
      </c>
      <c r="C72" s="1557"/>
      <c r="D72" s="1559"/>
      <c r="E72" s="484" t="str">
        <f>FHD_NUM_P_34</f>
        <v/>
      </c>
      <c r="F72" s="1798" t="str">
        <f>FHD_P_34</f>
        <v/>
      </c>
      <c r="G72" s="1796" t="s">
        <v>644</v>
      </c>
      <c r="H72" s="495"/>
      <c r="I72" s="495"/>
      <c r="J72" s="227" t="str">
        <f>FHD_NOTE_P_34</f>
        <v/>
      </c>
      <c r="K72" s="481"/>
      <c r="L72" s="1557"/>
      <c r="M72" s="1557"/>
      <c r="R72" s="1557"/>
      <c r="U72" s="482"/>
      <c r="AA72" s="1553"/>
      <c r="AB72" s="1553"/>
      <c r="AC72" s="1553"/>
      <c r="AD72" s="1553"/>
      <c r="AE72" s="1553"/>
      <c r="AF72" s="1081">
        <v>0</v>
      </c>
    </row>
    <row r="73" spans="1:32" s="4274" customFormat="1" ht="19.899999999999999" customHeight="1">
      <c r="A73" s="913"/>
      <c r="C73" s="1557"/>
      <c r="D73" s="513"/>
      <c r="E73" s="484" t="str">
        <f>FHD_NUM_P_35</f>
        <v>3</v>
      </c>
      <c r="F73" s="1798" t="str">
        <f>FHD_P_35</f>
        <v>Чистая прибыль, полученная от регулируемого вида деятельности в сфере водоотведения, в том числе:</v>
      </c>
      <c r="G73" s="1796" t="s">
        <v>644</v>
      </c>
      <c r="H73" s="495"/>
      <c r="I73" s="495"/>
      <c r="J73" s="227" t="str">
        <f>FHD_NOTE_P_35</f>
        <v>Указывается общая сумма чистой прибыли, полученной от регулируемого вида деятельности.</v>
      </c>
      <c r="K73" s="481"/>
      <c r="L73" s="1557"/>
      <c r="M73" s="1557"/>
      <c r="R73" s="1557"/>
      <c r="U73" s="482"/>
      <c r="AA73" s="1553"/>
      <c r="AB73" s="1553"/>
      <c r="AC73" s="1553"/>
      <c r="AD73" s="1553"/>
      <c r="AE73" s="1553"/>
      <c r="AF73" s="1081">
        <v>19</v>
      </c>
    </row>
    <row r="74" spans="1:32" s="4274" customFormat="1" ht="19.899999999999999" customHeight="1">
      <c r="A74" s="913"/>
      <c r="C74" s="1557"/>
      <c r="D74" s="1559"/>
      <c r="E74" s="484" t="str">
        <f>FHD_NUM_P_36</f>
        <v>3.1</v>
      </c>
      <c r="F74" s="144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6" t="s">
        <v>644</v>
      </c>
      <c r="H74" s="495"/>
      <c r="I74" s="495"/>
      <c r="J74" s="227" t="str">
        <f>FHD_NOTE_P_36</f>
        <v/>
      </c>
      <c r="K74" s="481"/>
      <c r="L74" s="1557"/>
      <c r="M74" s="1557"/>
      <c r="R74" s="1557"/>
      <c r="U74" s="482"/>
      <c r="AA74" s="1553"/>
      <c r="AB74" s="1553"/>
      <c r="AC74" s="1553"/>
      <c r="AD74" s="1553"/>
      <c r="AE74" s="1553"/>
      <c r="AF74" s="1081">
        <v>19</v>
      </c>
    </row>
    <row r="75" spans="1:32" s="4274" customFormat="1" ht="19.899999999999999" customHeight="1">
      <c r="A75" s="913"/>
      <c r="C75" s="1557"/>
      <c r="D75" s="1559"/>
      <c r="E75" s="484" t="str">
        <f>FHD_NUM_P_37</f>
        <v>4</v>
      </c>
      <c r="F75" s="1798" t="str">
        <f>FHD_P_37</f>
        <v>Изменение стоимости основных фондов, в том числе:</v>
      </c>
      <c r="G75" s="1796" t="s">
        <v>644</v>
      </c>
      <c r="H75" s="495"/>
      <c r="I75" s="495"/>
      <c r="J75" s="227" t="str">
        <f>FHD_NOTE_P_37</f>
        <v>Указывается общее изменение стоимости основных фондов.</v>
      </c>
      <c r="K75" s="481"/>
      <c r="L75" s="1557"/>
      <c r="M75" s="1557"/>
      <c r="R75" s="1557"/>
      <c r="U75" s="482"/>
      <c r="AA75" s="1553"/>
      <c r="AB75" s="1553"/>
      <c r="AC75" s="1553"/>
      <c r="AD75" s="1553"/>
      <c r="AE75" s="1553"/>
      <c r="AF75" s="1081">
        <v>19</v>
      </c>
    </row>
    <row r="76" spans="1:32" s="4274" customFormat="1" ht="19.899999999999999" customHeight="1">
      <c r="A76" s="913"/>
      <c r="C76" s="1557"/>
      <c r="D76" s="1559"/>
      <c r="E76" s="484" t="str">
        <f>FHD_NUM_P_38</f>
        <v>4.1</v>
      </c>
      <c r="F76" s="1445" t="str">
        <f>FHD_P_38</f>
        <v>Изменение стоимости основных фондов за счет их ввода в эксплуатацию (вывода из эксплуатации)</v>
      </c>
      <c r="G76" s="1796" t="s">
        <v>644</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57"/>
      <c r="M76" s="1557"/>
      <c r="R76" s="1557"/>
      <c r="U76" s="482"/>
      <c r="AA76" s="1553"/>
      <c r="AB76" s="1553"/>
      <c r="AC76" s="1553"/>
      <c r="AD76" s="1553"/>
      <c r="AE76" s="1553"/>
      <c r="AF76" s="1081">
        <v>19</v>
      </c>
    </row>
    <row r="77" spans="1:32" s="4274" customFormat="1" ht="19.899999999999999" customHeight="1">
      <c r="A77" s="913"/>
      <c r="C77" s="1557"/>
      <c r="D77" s="1559"/>
      <c r="E77" s="484" t="str">
        <f>FHD_NUM_P_39</f>
        <v>4.1.1</v>
      </c>
      <c r="F77" s="1571" t="str">
        <f>FHD_P_39</f>
        <v>Изменение стоимости основных фондов за счет их ввода в эксплуатацию</v>
      </c>
      <c r="G77" s="1987" t="s">
        <v>644</v>
      </c>
      <c r="H77" s="495"/>
      <c r="I77" s="495"/>
      <c r="J77" s="227" t="str">
        <f>FHD_NOTE_P_39</f>
        <v>Указываются изменение стоимости основных фондов за счет их ввода в эксплуатацию.</v>
      </c>
      <c r="K77" s="481"/>
      <c r="L77" s="1557"/>
      <c r="M77" s="1557"/>
      <c r="R77" s="1557"/>
      <c r="U77" s="482"/>
      <c r="AA77" s="1553"/>
      <c r="AB77" s="1553"/>
      <c r="AC77" s="1553"/>
      <c r="AD77" s="1553"/>
      <c r="AE77" s="1553"/>
      <c r="AF77" s="1081">
        <v>19</v>
      </c>
    </row>
    <row r="78" spans="1:32" s="4274" customFormat="1" ht="19.899999999999999" customHeight="1">
      <c r="A78" s="913"/>
      <c r="C78" s="1557"/>
      <c r="D78" s="1559"/>
      <c r="E78" s="484" t="str">
        <f>FHD_NUM_P_40</f>
        <v>4.1.2</v>
      </c>
      <c r="F78" s="1991" t="str">
        <f>FHD_P_40</f>
        <v>Изменение стоимости основных фондов за счет их вывода в эксплуатацию</v>
      </c>
      <c r="G78" s="1986" t="s">
        <v>644</v>
      </c>
      <c r="H78" s="903"/>
      <c r="I78" s="495"/>
      <c r="J78" s="227" t="str">
        <f>FHD_NOTE_P_40</f>
        <v>Указываются изменение стоимости основных фондов за счет их вывода из эксплуатации.</v>
      </c>
      <c r="K78" s="481"/>
      <c r="L78" s="1557"/>
      <c r="M78" s="1557"/>
      <c r="R78" s="1557"/>
      <c r="U78" s="482"/>
      <c r="AA78" s="1553"/>
      <c r="AB78" s="1553"/>
      <c r="AC78" s="1553"/>
      <c r="AD78" s="1553"/>
      <c r="AE78" s="1553"/>
      <c r="AF78" s="1081">
        <v>19</v>
      </c>
    </row>
    <row r="79" spans="1:32" s="4274" customFormat="1" ht="19.899999999999999" customHeight="1">
      <c r="A79" s="913"/>
      <c r="C79" s="1557"/>
      <c r="D79" s="1559"/>
      <c r="E79" s="484" t="str">
        <f>FHD_NUM_P_41</f>
        <v>4.2</v>
      </c>
      <c r="F79" s="1990" t="str">
        <f>FHD_P_41</f>
        <v>Изменение стоимости основных фондов за счет их переоценки</v>
      </c>
      <c r="G79" s="1986" t="s">
        <v>644</v>
      </c>
      <c r="H79" s="903"/>
      <c r="I79" s="495"/>
      <c r="J79" s="227" t="str">
        <f>FHD_NOTE_P_41</f>
        <v/>
      </c>
      <c r="K79" s="481"/>
      <c r="L79" s="1557"/>
      <c r="M79" s="1557"/>
      <c r="R79" s="1557"/>
      <c r="U79" s="482"/>
      <c r="AA79" s="1553"/>
      <c r="AB79" s="1553"/>
      <c r="AC79" s="1553"/>
      <c r="AD79" s="1553"/>
      <c r="AE79" s="1553"/>
      <c r="AF79" s="1081">
        <v>19</v>
      </c>
    </row>
    <row r="80" spans="1:32" s="4274" customFormat="1" ht="19.899999999999999" customHeight="1">
      <c r="A80" s="915" t="s">
        <v>671</v>
      </c>
      <c r="C80" s="1557"/>
      <c r="D80" s="1559"/>
      <c r="E80" s="484" t="str">
        <f>FHD_NUM_P_42</f>
        <v>5</v>
      </c>
      <c r="F80" s="1988" t="str">
        <f>FHD_P_42</f>
        <v>Валовая прибыль (убытки) от продажи товаров и услуг по регулируемым видам деятельности в сфере водоотведения</v>
      </c>
      <c r="G80" s="1986" t="s">
        <v>644</v>
      </c>
      <c r="H80" s="903"/>
      <c r="I80" s="495"/>
      <c r="J80" s="227" t="str">
        <f>FHD_NOTE_P_42</f>
        <v/>
      </c>
      <c r="K80" s="481"/>
      <c r="L80" s="1557"/>
      <c r="M80" s="1557"/>
      <c r="R80" s="1557"/>
      <c r="U80" s="482"/>
      <c r="AA80" s="1553"/>
      <c r="AB80" s="1553"/>
      <c r="AC80" s="1553"/>
      <c r="AD80" s="1553"/>
      <c r="AE80" s="1553"/>
      <c r="AF80" s="1081">
        <v>19</v>
      </c>
    </row>
    <row r="81" spans="1:32" s="4274" customFormat="1" ht="19.899999999999999" customHeight="1">
      <c r="A81" s="913"/>
      <c r="C81" s="1557"/>
      <c r="D81" s="1559"/>
      <c r="E81" s="484" t="str">
        <f>FHD_NUM_P_43</f>
        <v>6</v>
      </c>
      <c r="F81" s="1798" t="str">
        <f>FHD_P_43</f>
        <v>Годовая бухгалтерская (финансовая) отчетность, включая бухгалтерский баланс и приложения к нему</v>
      </c>
      <c r="G81" s="1989" t="s">
        <v>399</v>
      </c>
      <c r="H81" s="980"/>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57"/>
      <c r="M81" s="1557"/>
      <c r="R81" s="1557"/>
      <c r="U81" s="482"/>
      <c r="AA81" s="1553"/>
      <c r="AB81" s="1553"/>
      <c r="AC81" s="1553"/>
      <c r="AD81" s="1553"/>
      <c r="AE81" s="1553"/>
      <c r="AF81" s="1081">
        <v>19</v>
      </c>
    </row>
    <row r="82" spans="1:32" s="4274" customFormat="1" ht="18.75" hidden="1" customHeight="1">
      <c r="A82" s="5557" t="s">
        <v>672</v>
      </c>
      <c r="C82" s="673"/>
      <c r="D82" s="671"/>
      <c r="E82" s="484" t="str">
        <f>FHD_NUM_P_44</f>
        <v/>
      </c>
      <c r="F82" s="1798" t="str">
        <f>FHD_P_44</f>
        <v/>
      </c>
      <c r="G82" s="1799" t="s">
        <v>673</v>
      </c>
      <c r="H82" s="904"/>
      <c r="I82" s="515"/>
      <c r="J82" s="227" t="str">
        <f>FHD_NOTE_P_44</f>
        <v/>
      </c>
      <c r="K82" s="672"/>
      <c r="L82" s="673"/>
      <c r="M82" s="673"/>
      <c r="R82" s="673"/>
      <c r="U82" s="674"/>
      <c r="AA82" s="675"/>
      <c r="AB82" s="675"/>
      <c r="AC82" s="675"/>
      <c r="AD82" s="675"/>
      <c r="AE82" s="675"/>
      <c r="AF82" s="837">
        <v>0</v>
      </c>
    </row>
    <row r="83" spans="1:32" s="4274" customFormat="1" ht="18.75" hidden="1" customHeight="1">
      <c r="A83" s="5557"/>
      <c r="C83" s="673"/>
      <c r="D83" s="671"/>
      <c r="E83" s="484" t="str">
        <f>FHD_NUM_P_45</f>
        <v/>
      </c>
      <c r="F83" s="1798" t="str">
        <f>FHD_P_45</f>
        <v/>
      </c>
      <c r="G83" s="1799" t="s">
        <v>673</v>
      </c>
      <c r="H83" s="904"/>
      <c r="I83" s="515"/>
      <c r="J83" s="227" t="str">
        <f>FHD_NOTE_P_45</f>
        <v/>
      </c>
      <c r="K83" s="672"/>
      <c r="L83" s="673"/>
      <c r="M83" s="673"/>
      <c r="R83" s="673"/>
      <c r="U83" s="674"/>
      <c r="AA83" s="675"/>
      <c r="AB83" s="675"/>
      <c r="AC83" s="675"/>
      <c r="AD83" s="675"/>
      <c r="AE83" s="675"/>
      <c r="AF83" s="837">
        <v>0</v>
      </c>
    </row>
    <row r="84" spans="1:32" s="4274" customFormat="1" ht="18.75" hidden="1" customHeight="1">
      <c r="A84" s="5557"/>
      <c r="C84" s="673"/>
      <c r="D84" s="676"/>
      <c r="E84" s="484" t="str">
        <f>FHD_NUM_P_46</f>
        <v/>
      </c>
      <c r="F84" s="1798" t="str">
        <f>FHD_P_46</f>
        <v/>
      </c>
      <c r="G84" s="1799" t="s">
        <v>673</v>
      </c>
      <c r="H84" s="904"/>
      <c r="I84" s="515"/>
      <c r="J84" s="227" t="str">
        <f>FHD_NOTE_P_46</f>
        <v/>
      </c>
      <c r="K84" s="672"/>
      <c r="L84" s="673"/>
      <c r="M84" s="673"/>
      <c r="R84" s="673"/>
      <c r="U84" s="674"/>
      <c r="AA84" s="675"/>
      <c r="AB84" s="675"/>
      <c r="AC84" s="675"/>
      <c r="AD84" s="675"/>
      <c r="AE84" s="675"/>
      <c r="AF84" s="837">
        <v>0</v>
      </c>
    </row>
    <row r="85" spans="1:32" s="4274" customFormat="1" ht="18.75" hidden="1" customHeight="1">
      <c r="A85" s="5557"/>
      <c r="C85" s="673"/>
      <c r="D85" s="671"/>
      <c r="E85" s="484" t="str">
        <f>FHD_NUM_P_47</f>
        <v/>
      </c>
      <c r="F85" s="1798" t="str">
        <f>FHD_P_47</f>
        <v/>
      </c>
      <c r="G85" s="1799" t="s">
        <v>673</v>
      </c>
      <c r="H85" s="904"/>
      <c r="I85" s="515"/>
      <c r="J85" s="227" t="str">
        <f>FHD_NOTE_P_47</f>
        <v/>
      </c>
      <c r="K85" s="672"/>
      <c r="L85" s="673"/>
      <c r="M85" s="673"/>
      <c r="R85" s="673"/>
      <c r="U85" s="674"/>
      <c r="AA85" s="675"/>
      <c r="AB85" s="675"/>
      <c r="AC85" s="675"/>
      <c r="AD85" s="675"/>
      <c r="AE85" s="675"/>
      <c r="AF85" s="837">
        <v>0</v>
      </c>
    </row>
    <row r="86" spans="1:32" s="4267" customFormat="1" ht="18.75" hidden="1" customHeight="1">
      <c r="A86" s="5557"/>
      <c r="B86" s="837"/>
      <c r="C86" s="673"/>
      <c r="D86" s="671"/>
      <c r="E86" s="484" t="str">
        <f>FHD_NUM_P_48</f>
        <v/>
      </c>
      <c r="F86" s="1798" t="str">
        <f>FHD_P_48</f>
        <v/>
      </c>
      <c r="G86" s="1799" t="s">
        <v>673</v>
      </c>
      <c r="H86" s="904"/>
      <c r="I86" s="515"/>
      <c r="J86" s="227" t="str">
        <f>FHD_NOTE_P_48</f>
        <v/>
      </c>
      <c r="K86" s="672"/>
      <c r="L86" s="673"/>
      <c r="M86" s="673"/>
      <c r="N86" s="837"/>
      <c r="O86" s="837"/>
      <c r="P86" s="837"/>
      <c r="Q86" s="837"/>
      <c r="R86" s="673"/>
      <c r="S86" s="837"/>
      <c r="T86" s="837"/>
      <c r="U86" s="674"/>
      <c r="V86" s="837"/>
      <c r="W86" s="837"/>
      <c r="X86" s="837"/>
      <c r="Y86" s="837"/>
      <c r="Z86" s="837"/>
      <c r="AA86" s="675"/>
      <c r="AB86" s="675"/>
      <c r="AC86" s="675"/>
      <c r="AD86" s="675"/>
      <c r="AE86" s="675"/>
      <c r="AF86" s="677">
        <v>0</v>
      </c>
    </row>
    <row r="87" spans="1:32" s="4267" customFormat="1" ht="18.75" hidden="1" customHeight="1">
      <c r="A87" s="5557"/>
      <c r="B87" s="837"/>
      <c r="C87" s="673"/>
      <c r="D87" s="671"/>
      <c r="E87" s="484" t="str">
        <f>FHD_NUM_P_49</f>
        <v/>
      </c>
      <c r="F87" s="1798" t="str">
        <f>FHD_P_49</f>
        <v/>
      </c>
      <c r="G87" s="1799" t="s">
        <v>673</v>
      </c>
      <c r="H87" s="905">
        <f>SUM(H88:H89)</f>
        <v>0</v>
      </c>
      <c r="I87" s="687">
        <f>SUM(I88:I89)</f>
        <v>0</v>
      </c>
      <c r="J87" s="227" t="str">
        <f>FHD_NOTE_P_49</f>
        <v/>
      </c>
      <c r="K87" s="672"/>
      <c r="L87" s="673"/>
      <c r="M87" s="673"/>
      <c r="N87" s="837"/>
      <c r="O87" s="837"/>
      <c r="P87" s="837"/>
      <c r="Q87" s="837"/>
      <c r="R87" s="673"/>
      <c r="S87" s="837"/>
      <c r="T87" s="837"/>
      <c r="U87" s="674"/>
      <c r="V87" s="837"/>
      <c r="W87" s="837"/>
      <c r="X87" s="837"/>
      <c r="Y87" s="837"/>
      <c r="Z87" s="837"/>
      <c r="AA87" s="675"/>
      <c r="AB87" s="675"/>
      <c r="AC87" s="675"/>
      <c r="AD87" s="675"/>
      <c r="AE87" s="675"/>
      <c r="AF87" s="677">
        <v>0</v>
      </c>
    </row>
    <row r="88" spans="1:32" s="4267" customFormat="1" ht="18.75" hidden="1" customHeight="1">
      <c r="A88" s="5557"/>
      <c r="B88" s="837"/>
      <c r="C88" s="673"/>
      <c r="D88" s="671"/>
      <c r="E88" s="484" t="str">
        <f>FHD_NUM_P_50</f>
        <v/>
      </c>
      <c r="F88" s="1798" t="str">
        <f>FHD_P_50</f>
        <v/>
      </c>
      <c r="G88" s="1799" t="s">
        <v>673</v>
      </c>
      <c r="H88" s="904"/>
      <c r="I88" s="515"/>
      <c r="J88" s="227" t="str">
        <f>FHD_NOTE_P_50</f>
        <v/>
      </c>
      <c r="K88" s="672"/>
      <c r="L88" s="673"/>
      <c r="M88" s="673"/>
      <c r="N88" s="837"/>
      <c r="O88" s="837"/>
      <c r="P88" s="837"/>
      <c r="Q88" s="837"/>
      <c r="R88" s="673"/>
      <c r="S88" s="837"/>
      <c r="T88" s="837"/>
      <c r="U88" s="674"/>
      <c r="V88" s="837"/>
      <c r="W88" s="837"/>
      <c r="X88" s="837"/>
      <c r="Y88" s="837"/>
      <c r="Z88" s="837"/>
      <c r="AA88" s="675"/>
      <c r="AB88" s="675"/>
      <c r="AC88" s="675"/>
      <c r="AD88" s="675"/>
      <c r="AE88" s="675"/>
      <c r="AF88" s="677">
        <v>0</v>
      </c>
    </row>
    <row r="89" spans="1:32" s="4267" customFormat="1" ht="18.75" hidden="1" customHeight="1">
      <c r="A89" s="5557"/>
      <c r="B89" s="837"/>
      <c r="C89" s="673"/>
      <c r="D89" s="671"/>
      <c r="E89" s="484" t="str">
        <f>FHD_NUM_P_51</f>
        <v/>
      </c>
      <c r="F89" s="1798" t="str">
        <f>FHD_P_51</f>
        <v/>
      </c>
      <c r="G89" s="1799" t="s">
        <v>673</v>
      </c>
      <c r="H89" s="904"/>
      <c r="I89" s="515"/>
      <c r="J89" s="227" t="str">
        <f>FHD_NOTE_P_51</f>
        <v/>
      </c>
      <c r="K89" s="672"/>
      <c r="L89" s="673"/>
      <c r="M89" s="673"/>
      <c r="N89" s="837"/>
      <c r="O89" s="837"/>
      <c r="P89" s="837"/>
      <c r="Q89" s="837"/>
      <c r="R89" s="673"/>
      <c r="S89" s="837"/>
      <c r="T89" s="837"/>
      <c r="U89" s="674"/>
      <c r="V89" s="837"/>
      <c r="W89" s="837"/>
      <c r="X89" s="837"/>
      <c r="Y89" s="837"/>
      <c r="Z89" s="837"/>
      <c r="AA89" s="675"/>
      <c r="AB89" s="675"/>
      <c r="AC89" s="675"/>
      <c r="AD89" s="675"/>
      <c r="AE89" s="675"/>
      <c r="AF89" s="677">
        <v>0</v>
      </c>
    </row>
    <row r="90" spans="1:32" s="4267" customFormat="1" ht="18.75" hidden="1" customHeight="1">
      <c r="A90" s="5557"/>
      <c r="B90" s="837"/>
      <c r="C90" s="673"/>
      <c r="D90" s="671"/>
      <c r="E90" s="484" t="str">
        <f>FHD_NUM_P_52</f>
        <v/>
      </c>
      <c r="F90" s="1798" t="str">
        <f>FHD_P_52</f>
        <v/>
      </c>
      <c r="G90" s="1799" t="s">
        <v>650</v>
      </c>
      <c r="H90" s="903"/>
      <c r="I90" s="495"/>
      <c r="J90" s="227" t="str">
        <f>FHD_NOTE_P_52</f>
        <v/>
      </c>
      <c r="K90" s="672"/>
      <c r="L90" s="673"/>
      <c r="M90" s="673"/>
      <c r="N90" s="837"/>
      <c r="O90" s="837"/>
      <c r="P90" s="837"/>
      <c r="Q90" s="837"/>
      <c r="R90" s="673"/>
      <c r="S90" s="837"/>
      <c r="T90" s="837"/>
      <c r="U90" s="674"/>
      <c r="V90" s="837"/>
      <c r="W90" s="837"/>
      <c r="X90" s="837"/>
      <c r="Y90" s="837"/>
      <c r="Z90" s="837"/>
      <c r="AA90" s="675"/>
      <c r="AB90" s="675"/>
      <c r="AC90" s="675"/>
      <c r="AD90" s="675"/>
      <c r="AE90" s="675"/>
      <c r="AF90" s="677">
        <v>0</v>
      </c>
    </row>
    <row r="91" spans="1:32" s="4274" customFormat="1" ht="18.75" hidden="1" customHeight="1">
      <c r="A91" s="5557" t="s">
        <v>674</v>
      </c>
      <c r="C91" s="673"/>
      <c r="D91" s="671"/>
      <c r="E91" s="484" t="str">
        <f>FHD_NUM_P_53</f>
        <v/>
      </c>
      <c r="F91" s="1798" t="str">
        <f>FHD_P_53</f>
        <v/>
      </c>
      <c r="G91" s="1799" t="s">
        <v>673</v>
      </c>
      <c r="H91" s="904"/>
      <c r="I91" s="515"/>
      <c r="J91" s="227" t="str">
        <f>FHD_NOTE_P_53</f>
        <v/>
      </c>
      <c r="K91" s="672"/>
      <c r="L91" s="673"/>
      <c r="M91" s="673"/>
      <c r="R91" s="673"/>
      <c r="U91" s="674"/>
      <c r="AA91" s="675"/>
      <c r="AB91" s="675"/>
      <c r="AC91" s="675"/>
      <c r="AD91" s="675"/>
      <c r="AE91" s="675"/>
      <c r="AF91" s="837">
        <v>0</v>
      </c>
    </row>
    <row r="92" spans="1:32" s="4274" customFormat="1" ht="18.75" hidden="1" customHeight="1">
      <c r="A92" s="5557"/>
      <c r="C92" s="673"/>
      <c r="D92" s="671"/>
      <c r="E92" s="484" t="str">
        <f>FHD_NUM_P_54</f>
        <v/>
      </c>
      <c r="F92" s="1798" t="str">
        <f>FHD_P_54</f>
        <v/>
      </c>
      <c r="G92" s="1799" t="s">
        <v>673</v>
      </c>
      <c r="H92" s="904"/>
      <c r="I92" s="515"/>
      <c r="J92" s="227" t="str">
        <f>FHD_NOTE_P_54</f>
        <v/>
      </c>
      <c r="K92" s="672"/>
      <c r="L92" s="673"/>
      <c r="M92" s="673"/>
      <c r="R92" s="673"/>
      <c r="U92" s="674"/>
      <c r="AA92" s="675"/>
      <c r="AB92" s="675"/>
      <c r="AC92" s="675"/>
      <c r="AD92" s="675"/>
      <c r="AE92" s="675"/>
      <c r="AF92" s="837">
        <v>0</v>
      </c>
    </row>
    <row r="93" spans="1:32" s="4274" customFormat="1" ht="18.75" hidden="1" customHeight="1">
      <c r="A93" s="5557"/>
      <c r="C93" s="673"/>
      <c r="D93" s="676"/>
      <c r="E93" s="484" t="str">
        <f>FHD_NUM_P_55</f>
        <v/>
      </c>
      <c r="F93" s="1798" t="str">
        <f>FHD_P_55</f>
        <v/>
      </c>
      <c r="G93" s="1802"/>
      <c r="H93" s="904"/>
      <c r="I93" s="515"/>
      <c r="J93" s="227" t="str">
        <f>FHD_NOTE_P_55</f>
        <v/>
      </c>
      <c r="K93" s="672"/>
      <c r="L93" s="673"/>
      <c r="M93" s="673"/>
      <c r="R93" s="673"/>
      <c r="U93" s="674"/>
      <c r="AA93" s="675"/>
      <c r="AB93" s="675"/>
      <c r="AC93" s="675"/>
      <c r="AD93" s="675"/>
      <c r="AE93" s="675"/>
      <c r="AF93" s="837">
        <v>0</v>
      </c>
    </row>
    <row r="94" spans="1:32" s="4274" customFormat="1" ht="18.75" hidden="1" customHeight="1">
      <c r="A94" s="5557"/>
      <c r="C94" s="673"/>
      <c r="D94" s="671"/>
      <c r="E94" s="484" t="str">
        <f>FHD_NUM_P_56</f>
        <v/>
      </c>
      <c r="F94" s="1798" t="str">
        <f>FHD_P_56</f>
        <v/>
      </c>
      <c r="G94" s="1799" t="s">
        <v>675</v>
      </c>
      <c r="H94" s="904"/>
      <c r="I94" s="515"/>
      <c r="J94" s="227" t="str">
        <f>FHD_NOTE_P_56</f>
        <v/>
      </c>
      <c r="K94" s="672"/>
      <c r="L94" s="673"/>
      <c r="M94" s="673"/>
      <c r="R94" s="673"/>
      <c r="U94" s="674"/>
      <c r="AA94" s="675"/>
      <c r="AB94" s="675"/>
      <c r="AC94" s="675"/>
      <c r="AD94" s="675"/>
      <c r="AE94" s="675"/>
      <c r="AF94" s="837">
        <v>0</v>
      </c>
    </row>
    <row r="95" spans="1:32" s="4267" customFormat="1" ht="18.75" hidden="1" customHeight="1">
      <c r="A95" s="5557"/>
      <c r="B95" s="837"/>
      <c r="C95" s="673"/>
      <c r="D95" s="671"/>
      <c r="E95" s="484" t="str">
        <f>FHD_NUM_P_57</f>
        <v/>
      </c>
      <c r="F95" s="1798" t="str">
        <f>FHD_P_57</f>
        <v/>
      </c>
      <c r="G95" s="1799" t="s">
        <v>650</v>
      </c>
      <c r="H95" s="903"/>
      <c r="I95" s="495"/>
      <c r="J95" s="227" t="str">
        <f>FHD_NOTE_P_57</f>
        <v/>
      </c>
      <c r="K95" s="672"/>
      <c r="L95" s="673"/>
      <c r="M95" s="673"/>
      <c r="N95" s="837"/>
      <c r="O95" s="837"/>
      <c r="P95" s="837"/>
      <c r="Q95" s="837"/>
      <c r="R95" s="673"/>
      <c r="S95" s="837"/>
      <c r="T95" s="837"/>
      <c r="U95" s="674"/>
      <c r="V95" s="837"/>
      <c r="W95" s="837"/>
      <c r="X95" s="837"/>
      <c r="Y95" s="837"/>
      <c r="Z95" s="837"/>
      <c r="AA95" s="675"/>
      <c r="AB95" s="675"/>
      <c r="AC95" s="675"/>
      <c r="AD95" s="675"/>
      <c r="AE95" s="675"/>
      <c r="AF95" s="677">
        <v>0</v>
      </c>
    </row>
    <row r="96" spans="1:32" ht="18.75" customHeight="1">
      <c r="A96" s="5557" t="s">
        <v>676</v>
      </c>
      <c r="D96" s="1559"/>
      <c r="E96" s="484" t="str">
        <f>FHD_NUM_P_58</f>
        <v>7</v>
      </c>
      <c r="F96" s="1798" t="str">
        <f>FHD_P_58</f>
        <v>Объём сточных вод, принятых от потребителей</v>
      </c>
      <c r="G96" s="1799" t="s">
        <v>673</v>
      </c>
      <c r="H96" s="904"/>
      <c r="I96" s="515"/>
      <c r="J96" s="227" t="str">
        <f>FHD_NOTE_P_58</f>
        <v/>
      </c>
      <c r="K96" s="481"/>
      <c r="AF96" s="1552">
        <v>0</v>
      </c>
    </row>
    <row r="97" spans="1:32" ht="18.75" customHeight="1">
      <c r="A97" s="5557"/>
      <c r="D97" s="1559"/>
      <c r="E97" s="484" t="str">
        <f>FHD_NUM_P_59</f>
        <v>8</v>
      </c>
      <c r="F97" s="1798" t="str">
        <f>FHD_P_59</f>
        <v>Объём сточных вод, принятых от других регулируемых организаций, осуществляющих водоотведение и (или) очистку сточных вод</v>
      </c>
      <c r="G97" s="1799" t="s">
        <v>673</v>
      </c>
      <c r="H97" s="904"/>
      <c r="I97" s="515"/>
      <c r="J97" s="227" t="str">
        <f>FHD_NOTE_P_59</f>
        <v/>
      </c>
      <c r="K97" s="481"/>
      <c r="AF97" s="1552">
        <v>0</v>
      </c>
    </row>
    <row r="98" spans="1:32" ht="18.75" customHeight="1">
      <c r="A98" s="5557"/>
      <c r="D98" s="1559"/>
      <c r="E98" s="484" t="str">
        <f>FHD_NUM_P_60</f>
        <v>9</v>
      </c>
      <c r="F98" s="1798" t="str">
        <f>FHD_P_60</f>
        <v>Объём сточных вод, пропущенных через очистные сооружения</v>
      </c>
      <c r="G98" s="1799" t="s">
        <v>673</v>
      </c>
      <c r="H98" s="904"/>
      <c r="I98" s="515"/>
      <c r="J98" s="227" t="str">
        <f>FHD_NOTE_P_60</f>
        <v/>
      </c>
      <c r="K98" s="481"/>
      <c r="AF98" s="1552">
        <v>0</v>
      </c>
    </row>
    <row r="99" spans="1:32" s="4274" customFormat="1" ht="18.75" hidden="1" customHeight="1">
      <c r="A99" s="5557" t="s">
        <v>677</v>
      </c>
      <c r="C99" s="1557"/>
      <c r="D99" s="1559"/>
      <c r="E99" s="484" t="str">
        <f>FHD_NUM_P_61</f>
        <v/>
      </c>
      <c r="F99" s="1798" t="str">
        <f>FHD_P_61</f>
        <v/>
      </c>
      <c r="G99" s="1796" t="s">
        <v>648</v>
      </c>
      <c r="H99" s="906"/>
      <c r="I99" s="680"/>
      <c r="J99" s="227" t="str">
        <f>FHD_NOTE_P_61</f>
        <v/>
      </c>
      <c r="K99" s="481"/>
      <c r="L99" s="1557"/>
      <c r="M99" s="1557"/>
      <c r="R99" s="1557"/>
      <c r="U99" s="482"/>
      <c r="AA99" s="1553"/>
      <c r="AB99" s="1553"/>
      <c r="AC99" s="1553"/>
      <c r="AD99" s="1553"/>
      <c r="AE99" s="1553"/>
      <c r="AF99" s="1081">
        <v>0</v>
      </c>
    </row>
    <row r="100" spans="1:32" s="4275" customFormat="1" ht="0.75" hidden="1" customHeight="1">
      <c r="A100" s="5557"/>
      <c r="D100" s="486"/>
      <c r="E100" s="938" t="str">
        <f>E99&amp;".0"</f>
        <v>.0</v>
      </c>
      <c r="F100" s="920"/>
      <c r="G100" s="921"/>
      <c r="H100" s="918"/>
      <c r="I100" s="918"/>
      <c r="J100" s="922"/>
      <c r="AF100" s="1557">
        <v>0</v>
      </c>
    </row>
    <row r="101" spans="1:32" ht="15" hidden="1" customHeight="1">
      <c r="A101" s="5557"/>
      <c r="D101" s="1554"/>
      <c r="E101" s="898"/>
      <c r="F101" s="899" t="s">
        <v>678</v>
      </c>
      <c r="G101" s="510"/>
      <c r="H101" s="511"/>
      <c r="I101" s="511"/>
      <c r="J101" s="929" t="s">
        <v>679</v>
      </c>
      <c r="K101" s="481"/>
      <c r="AF101" s="1552">
        <v>0</v>
      </c>
    </row>
    <row r="102" spans="1:32" s="4274" customFormat="1" ht="18.75" hidden="1" customHeight="1">
      <c r="A102" s="5557"/>
      <c r="C102" s="1557"/>
      <c r="D102" s="1559"/>
      <c r="E102" s="484" t="str">
        <f>FHD_NUM_P_62</f>
        <v/>
      </c>
      <c r="F102" s="1798" t="str">
        <f>FHD_P_62</f>
        <v/>
      </c>
      <c r="G102" s="1795" t="s">
        <v>648</v>
      </c>
      <c r="H102" s="495"/>
      <c r="I102" s="495"/>
      <c r="J102" s="227" t="str">
        <f>FHD_NOTE_P_62</f>
        <v/>
      </c>
      <c r="K102" s="481"/>
      <c r="L102" s="1557"/>
      <c r="M102" s="1557"/>
      <c r="R102" s="1557"/>
      <c r="U102" s="482"/>
      <c r="AA102" s="1553"/>
      <c r="AB102" s="1553"/>
      <c r="AC102" s="1553"/>
      <c r="AD102" s="1553"/>
      <c r="AE102" s="1553"/>
      <c r="AF102" s="1081">
        <v>0</v>
      </c>
    </row>
    <row r="103" spans="1:32" s="4274" customFormat="1" ht="18.75" hidden="1" customHeight="1">
      <c r="A103" s="5557"/>
      <c r="C103" s="1557"/>
      <c r="D103" s="1559"/>
      <c r="E103" s="484" t="str">
        <f>FHD_NUM_P_63</f>
        <v/>
      </c>
      <c r="F103" s="1798" t="str">
        <f>FHD_P_63</f>
        <v/>
      </c>
      <c r="G103" s="1795" t="s">
        <v>675</v>
      </c>
      <c r="H103" s="515"/>
      <c r="I103" s="515"/>
      <c r="J103" s="227" t="str">
        <f>FHD_NOTE_P_63</f>
        <v/>
      </c>
      <c r="K103" s="481"/>
      <c r="L103" s="1557"/>
      <c r="M103" s="1557"/>
      <c r="R103" s="1557"/>
      <c r="U103" s="482"/>
      <c r="AA103" s="1553"/>
      <c r="AB103" s="1553"/>
      <c r="AC103" s="1553"/>
      <c r="AD103" s="1553"/>
      <c r="AE103" s="1553"/>
      <c r="AF103" s="1081">
        <v>0</v>
      </c>
    </row>
    <row r="104" spans="1:32" s="4274" customFormat="1" ht="18.75" hidden="1" customHeight="1">
      <c r="A104" s="5557"/>
      <c r="C104" s="1557" t="s">
        <v>680</v>
      </c>
      <c r="D104" s="1559"/>
      <c r="E104" s="484" t="str">
        <f>FHD_NUM_P_64</f>
        <v/>
      </c>
      <c r="F104" s="1798" t="str">
        <f>FHD_P_64</f>
        <v/>
      </c>
      <c r="G104" s="1795" t="s">
        <v>675</v>
      </c>
      <c r="H104" s="483"/>
      <c r="I104" s="483"/>
      <c r="J104" s="227" t="str">
        <f>FHD_NOTE_P_64</f>
        <v/>
      </c>
      <c r="K104" s="481"/>
      <c r="L104" s="1557"/>
      <c r="M104" s="1557"/>
      <c r="R104" s="1557"/>
      <c r="U104" s="482"/>
      <c r="AA104" s="1553"/>
      <c r="AB104" s="1553"/>
      <c r="AC104" s="1553"/>
      <c r="AD104" s="1553"/>
      <c r="AE104" s="1553"/>
      <c r="AF104" s="1081">
        <v>0</v>
      </c>
    </row>
    <row r="105" spans="1:32" s="4274" customFormat="1" ht="18.75" hidden="1" customHeight="1">
      <c r="A105" s="5557"/>
      <c r="C105" s="1557"/>
      <c r="D105" s="1559"/>
      <c r="E105" s="484" t="str">
        <f>FHD_NUM_P_65</f>
        <v/>
      </c>
      <c r="F105" s="1798" t="str">
        <f>FHD_P_65</f>
        <v/>
      </c>
      <c r="G105" s="1795" t="s">
        <v>675</v>
      </c>
      <c r="H105" s="515"/>
      <c r="I105" s="515"/>
      <c r="J105" s="227" t="str">
        <f>FHD_NOTE_P_65</f>
        <v/>
      </c>
      <c r="K105" s="481"/>
      <c r="L105" s="1557"/>
      <c r="M105" s="1557"/>
      <c r="R105" s="1557"/>
      <c r="U105" s="482"/>
      <c r="AA105" s="1553"/>
      <c r="AB105" s="1553"/>
      <c r="AC105" s="1553"/>
      <c r="AD105" s="1553"/>
      <c r="AE105" s="1553"/>
      <c r="AF105" s="1081">
        <v>0</v>
      </c>
    </row>
    <row r="106" spans="1:32" s="4274" customFormat="1" ht="18.75" hidden="1" customHeight="1">
      <c r="A106" s="5557"/>
      <c r="C106" s="1557"/>
      <c r="D106" s="1559"/>
      <c r="E106" s="484" t="str">
        <f>FHD_NUM_P_66</f>
        <v/>
      </c>
      <c r="F106" s="1445" t="str">
        <f>FHD_P_66</f>
        <v/>
      </c>
      <c r="G106" s="1795" t="s">
        <v>675</v>
      </c>
      <c r="H106" s="515"/>
      <c r="I106" s="515"/>
      <c r="J106" s="227" t="str">
        <f>FHD_NOTE_P_66</f>
        <v/>
      </c>
      <c r="K106" s="481"/>
      <c r="L106" s="1557"/>
      <c r="M106" s="1557"/>
      <c r="R106" s="1557"/>
      <c r="U106" s="482"/>
      <c r="AA106" s="1553"/>
      <c r="AB106" s="1553"/>
      <c r="AC106" s="1553"/>
      <c r="AD106" s="1553"/>
      <c r="AE106" s="1553"/>
      <c r="AF106" s="1081">
        <v>0</v>
      </c>
    </row>
    <row r="107" spans="1:32" s="4274" customFormat="1" ht="18.75" hidden="1" customHeight="1">
      <c r="A107" s="5557"/>
      <c r="C107" s="1557"/>
      <c r="D107" s="1559"/>
      <c r="E107" s="484" t="str">
        <f>FHD_NUM_P_67</f>
        <v/>
      </c>
      <c r="F107" s="1571" t="str">
        <f>FHD_P_67</f>
        <v/>
      </c>
      <c r="G107" s="1795" t="s">
        <v>675</v>
      </c>
      <c r="H107" s="515"/>
      <c r="I107" s="515"/>
      <c r="J107" s="227" t="str">
        <f>FHD_NOTE_P_67</f>
        <v/>
      </c>
      <c r="K107" s="481"/>
      <c r="L107" s="1557"/>
      <c r="M107" s="1557"/>
      <c r="R107" s="1557"/>
      <c r="U107" s="482"/>
      <c r="AA107" s="1553"/>
      <c r="AB107" s="1553"/>
      <c r="AC107" s="1553"/>
      <c r="AD107" s="1553"/>
      <c r="AE107" s="1553"/>
      <c r="AF107" s="1081">
        <v>0</v>
      </c>
    </row>
    <row r="108" spans="1:32" s="4274" customFormat="1" ht="18.75" hidden="1" customHeight="1">
      <c r="A108" s="5557"/>
      <c r="C108" s="1557"/>
      <c r="D108" s="1559"/>
      <c r="E108" s="484" t="str">
        <f>FHD_NUM_P_68</f>
        <v/>
      </c>
      <c r="F108" s="1445" t="str">
        <f>FHD_P_68</f>
        <v/>
      </c>
      <c r="G108" s="1795" t="s">
        <v>675</v>
      </c>
      <c r="H108" s="515"/>
      <c r="I108" s="515"/>
      <c r="J108" s="227" t="str">
        <f>FHD_NOTE_P_68</f>
        <v/>
      </c>
      <c r="K108" s="481"/>
      <c r="L108" s="1557"/>
      <c r="M108" s="1557"/>
      <c r="R108" s="1557"/>
      <c r="U108" s="482"/>
      <c r="AA108" s="1553"/>
      <c r="AB108" s="1553"/>
      <c r="AC108" s="1553"/>
      <c r="AD108" s="1553"/>
      <c r="AE108" s="1553"/>
      <c r="AF108" s="1081">
        <v>0</v>
      </c>
    </row>
    <row r="109" spans="1:32" s="4274" customFormat="1" ht="18.75" hidden="1" customHeight="1">
      <c r="A109" s="5557"/>
      <c r="C109" s="1557"/>
      <c r="D109" s="1559"/>
      <c r="E109" s="484" t="str">
        <f>FHD_NUM_P_69</f>
        <v/>
      </c>
      <c r="F109" s="1445" t="str">
        <f>FHD_P_69</f>
        <v/>
      </c>
      <c r="G109" s="1795" t="s">
        <v>675</v>
      </c>
      <c r="H109" s="515"/>
      <c r="I109" s="515"/>
      <c r="J109" s="227" t="str">
        <f>FHD_NOTE_P_69</f>
        <v/>
      </c>
      <c r="K109" s="481"/>
      <c r="L109" s="1557"/>
      <c r="M109" s="1557"/>
      <c r="R109" s="1557"/>
      <c r="U109" s="482"/>
      <c r="AA109" s="1553"/>
      <c r="AB109" s="1553"/>
      <c r="AC109" s="1553"/>
      <c r="AD109" s="1553"/>
      <c r="AE109" s="1553"/>
      <c r="AF109" s="1081">
        <v>0</v>
      </c>
    </row>
    <row r="110" spans="1:32" s="4274" customFormat="1" ht="22.5" hidden="1" customHeight="1">
      <c r="A110" s="5557"/>
      <c r="C110" s="1557"/>
      <c r="D110" s="1559"/>
      <c r="E110" s="484" t="str">
        <f>FHD_NUM_P_70</f>
        <v/>
      </c>
      <c r="F110" s="1798" t="str">
        <f>FHD_P_70</f>
        <v/>
      </c>
      <c r="G110" s="1795" t="s">
        <v>681</v>
      </c>
      <c r="H110" s="495"/>
      <c r="I110" s="495"/>
      <c r="J110" s="227" t="str">
        <f>FHD_NOTE_P_70</f>
        <v/>
      </c>
      <c r="K110" s="481"/>
      <c r="L110" s="1557"/>
      <c r="M110" s="1557"/>
      <c r="R110" s="1557"/>
      <c r="U110" s="482"/>
      <c r="AA110" s="1553"/>
      <c r="AB110" s="1553"/>
      <c r="AC110" s="1553"/>
      <c r="AD110" s="1553"/>
      <c r="AE110" s="1553"/>
      <c r="AF110" s="1081">
        <v>0</v>
      </c>
    </row>
    <row r="111" spans="1:32" s="4274" customFormat="1" ht="22.5" hidden="1" customHeight="1">
      <c r="A111" s="5557"/>
      <c r="C111" s="1557"/>
      <c r="D111" s="1559"/>
      <c r="E111" s="484" t="str">
        <f>FHD_NUM_P_71</f>
        <v/>
      </c>
      <c r="F111" s="1798" t="str">
        <f>FHD_P_71</f>
        <v/>
      </c>
      <c r="G111" s="1795" t="s">
        <v>681</v>
      </c>
      <c r="H111" s="495"/>
      <c r="I111" s="495"/>
      <c r="J111" s="227" t="str">
        <f>FHD_NOTE_P_71</f>
        <v/>
      </c>
      <c r="K111" s="481"/>
      <c r="L111" s="1557"/>
      <c r="M111" s="1557"/>
      <c r="R111" s="1557"/>
      <c r="U111" s="482"/>
      <c r="AA111" s="1553"/>
      <c r="AB111" s="1553"/>
      <c r="AC111" s="1553"/>
      <c r="AD111" s="1553"/>
      <c r="AE111" s="1553"/>
      <c r="AF111" s="1081">
        <v>0</v>
      </c>
    </row>
    <row r="112" spans="1:32" ht="19.899999999999999" customHeight="1">
      <c r="D112" s="1559"/>
      <c r="E112" s="484" t="str">
        <f>FHD_NUM_P_72</f>
        <v>10</v>
      </c>
      <c r="F112" s="1798" t="str">
        <f>FHD_P_72</f>
        <v>Среднесписочная численность основного производственного персонала</v>
      </c>
      <c r="G112" s="1794" t="s">
        <v>682</v>
      </c>
      <c r="H112" s="515"/>
      <c r="I112" s="515"/>
      <c r="J112" s="227" t="str">
        <f>FHD_NOTE_P_72</f>
        <v/>
      </c>
      <c r="K112" s="481"/>
      <c r="AF112" s="1552">
        <v>19</v>
      </c>
    </row>
    <row r="113" spans="1:32" ht="18.75" hidden="1" customHeight="1">
      <c r="A113" s="915" t="s">
        <v>683</v>
      </c>
      <c r="D113" s="1559"/>
      <c r="E113" s="484" t="str">
        <f>FHD_NUM_P_73</f>
        <v/>
      </c>
      <c r="F113" s="1798" t="str">
        <f>FHD_P_73</f>
        <v/>
      </c>
      <c r="G113" s="897" t="s">
        <v>682</v>
      </c>
      <c r="H113" s="895"/>
      <c r="I113" s="895"/>
      <c r="J113" s="227" t="str">
        <f>FHD_NOTE_P_73</f>
        <v/>
      </c>
      <c r="K113" s="481"/>
      <c r="AF113" s="1552">
        <v>0</v>
      </c>
    </row>
    <row r="114" spans="1:32" ht="33.75" hidden="1" customHeight="1">
      <c r="A114" s="915" t="s">
        <v>684</v>
      </c>
      <c r="D114" s="1559"/>
      <c r="E114" s="484" t="str">
        <f>FHD_NUM_P_74</f>
        <v/>
      </c>
      <c r="F114" s="1798" t="str">
        <f>FHD_P_74</f>
        <v/>
      </c>
      <c r="G114" s="1794" t="s">
        <v>685</v>
      </c>
      <c r="H114" s="515"/>
      <c r="I114" s="515"/>
      <c r="J114" s="227" t="str">
        <f>FHD_NOTE_P_74</f>
        <v/>
      </c>
      <c r="K114" s="481"/>
      <c r="AF114" s="1552">
        <v>0</v>
      </c>
    </row>
    <row r="115" spans="1:32" s="4267" customFormat="1" ht="18.75" hidden="1" customHeight="1">
      <c r="A115" s="5557" t="s">
        <v>686</v>
      </c>
      <c r="B115" s="837"/>
      <c r="C115" s="673"/>
      <c r="D115" s="671"/>
      <c r="E115" s="484" t="str">
        <f>FHD_NUM_P_75</f>
        <v/>
      </c>
      <c r="F115" s="1798" t="str">
        <f>FHD_P_75</f>
        <v/>
      </c>
      <c r="G115" s="1794" t="s">
        <v>650</v>
      </c>
      <c r="H115" s="495"/>
      <c r="I115" s="495"/>
      <c r="J115" s="227" t="str">
        <f>FHD_NOTE_P_75</f>
        <v/>
      </c>
      <c r="K115" s="672"/>
      <c r="L115" s="673"/>
      <c r="M115" s="673"/>
      <c r="N115" s="837"/>
      <c r="O115" s="837"/>
      <c r="P115" s="837"/>
      <c r="Q115" s="837"/>
      <c r="R115" s="673"/>
      <c r="S115" s="837"/>
      <c r="T115" s="837"/>
      <c r="U115" s="674"/>
      <c r="V115" s="837"/>
      <c r="W115" s="837"/>
      <c r="X115" s="837"/>
      <c r="Y115" s="837"/>
      <c r="Z115" s="837"/>
      <c r="AA115" s="675"/>
      <c r="AB115" s="675"/>
      <c r="AC115" s="675"/>
      <c r="AD115" s="675"/>
      <c r="AE115" s="675"/>
      <c r="AF115" s="677">
        <v>0</v>
      </c>
    </row>
    <row r="116" spans="1:32" s="4267" customFormat="1" ht="18.75" hidden="1" customHeight="1">
      <c r="A116" s="5557"/>
      <c r="B116" s="837"/>
      <c r="C116" s="673"/>
      <c r="D116" s="671"/>
      <c r="E116" s="484" t="str">
        <f>FHD_NUM_P_76</f>
        <v/>
      </c>
      <c r="F116" s="1798" t="str">
        <f>FHD_P_76</f>
        <v/>
      </c>
      <c r="G116" s="1794" t="s">
        <v>650</v>
      </c>
      <c r="H116" s="495"/>
      <c r="I116" s="495"/>
      <c r="J116" s="227" t="str">
        <f>FHD_NOTE_P_76</f>
        <v/>
      </c>
      <c r="K116" s="672"/>
      <c r="L116" s="673"/>
      <c r="M116" s="673"/>
      <c r="N116" s="837"/>
      <c r="O116" s="837"/>
      <c r="P116" s="837"/>
      <c r="Q116" s="837"/>
      <c r="R116" s="673"/>
      <c r="S116" s="837"/>
      <c r="T116" s="837"/>
      <c r="U116" s="674"/>
      <c r="V116" s="837"/>
      <c r="W116" s="837"/>
      <c r="X116" s="837"/>
      <c r="Y116" s="837"/>
      <c r="Z116" s="837"/>
      <c r="AA116" s="675"/>
      <c r="AB116" s="675"/>
      <c r="AC116" s="675"/>
      <c r="AD116" s="675"/>
      <c r="AE116" s="675"/>
      <c r="AF116" s="677">
        <v>0</v>
      </c>
    </row>
    <row r="117" spans="1:32" s="4267" customFormat="1" ht="18.75" hidden="1" customHeight="1">
      <c r="A117" s="5557"/>
      <c r="B117" s="837"/>
      <c r="C117" s="673"/>
      <c r="D117" s="671"/>
      <c r="E117" s="484" t="str">
        <f>FHD_NUM_P_77</f>
        <v/>
      </c>
      <c r="F117" s="1798" t="str">
        <f>FHD_P_77</f>
        <v/>
      </c>
      <c r="G117" s="1794" t="s">
        <v>650</v>
      </c>
      <c r="H117" s="495"/>
      <c r="I117" s="495"/>
      <c r="J117" s="227" t="str">
        <f>FHD_NOTE_P_77</f>
        <v/>
      </c>
      <c r="K117" s="672"/>
      <c r="L117" s="673"/>
      <c r="M117" s="673"/>
      <c r="N117" s="837"/>
      <c r="O117" s="837"/>
      <c r="P117" s="837"/>
      <c r="Q117" s="837"/>
      <c r="R117" s="673"/>
      <c r="S117" s="837"/>
      <c r="T117" s="837"/>
      <c r="U117" s="674"/>
      <c r="V117" s="837"/>
      <c r="W117" s="837"/>
      <c r="X117" s="837"/>
      <c r="Y117" s="837"/>
      <c r="Z117" s="837"/>
      <c r="AA117" s="675"/>
      <c r="AB117" s="675"/>
      <c r="AC117" s="675"/>
      <c r="AD117" s="675"/>
      <c r="AE117" s="675"/>
      <c r="AF117" s="677">
        <v>0</v>
      </c>
    </row>
    <row r="118" spans="1:32" s="4275" customFormat="1" ht="0.75" hidden="1" customHeight="1">
      <c r="A118" s="5557"/>
      <c r="D118" s="486"/>
      <c r="E118" s="938" t="str">
        <f>E117&amp;".0"</f>
        <v>.0</v>
      </c>
      <c r="F118" s="923"/>
      <c r="G118" s="1572"/>
      <c r="H118" s="918"/>
      <c r="I118" s="918"/>
      <c r="J118" s="922"/>
      <c r="AF118" s="1557">
        <v>0</v>
      </c>
    </row>
    <row r="119" spans="1:32" s="4267" customFormat="1" ht="15" hidden="1" customHeight="1">
      <c r="A119" s="5557"/>
      <c r="B119" s="837"/>
      <c r="C119" s="673"/>
      <c r="D119" s="684"/>
      <c r="E119" s="900"/>
      <c r="F119" s="901" t="s">
        <v>687</v>
      </c>
      <c r="G119" s="685"/>
      <c r="H119" s="686"/>
      <c r="I119" s="686"/>
      <c r="J119" s="928" t="s">
        <v>688</v>
      </c>
      <c r="K119" s="672"/>
      <c r="L119" s="673"/>
      <c r="M119" s="673"/>
      <c r="N119" s="837"/>
      <c r="O119" s="837"/>
      <c r="P119" s="837"/>
      <c r="Q119" s="837"/>
      <c r="R119" s="673"/>
      <c r="S119" s="837"/>
      <c r="T119" s="837"/>
      <c r="U119" s="674"/>
      <c r="V119" s="837"/>
      <c r="W119" s="837"/>
      <c r="X119" s="837"/>
      <c r="Y119" s="837"/>
      <c r="Z119" s="837"/>
      <c r="AA119" s="675"/>
      <c r="AB119" s="675"/>
      <c r="AC119" s="675"/>
      <c r="AD119" s="675"/>
      <c r="AE119" s="675"/>
      <c r="AF119" s="677">
        <v>0</v>
      </c>
    </row>
    <row r="120" spans="1:32" ht="22.5" hidden="1" customHeight="1">
      <c r="A120" s="5557" t="s">
        <v>689</v>
      </c>
      <c r="D120" s="1559"/>
      <c r="E120" s="484" t="str">
        <f>FHD_NUM_P_78</f>
        <v/>
      </c>
      <c r="F120" s="1798" t="str">
        <f>FHD_P_78</f>
        <v/>
      </c>
      <c r="G120" s="1795" t="s">
        <v>652</v>
      </c>
      <c r="H120" s="515"/>
      <c r="I120" s="515"/>
      <c r="J120" s="227" t="str">
        <f>FHD_NOTE_P_78</f>
        <v/>
      </c>
      <c r="K120" s="481"/>
      <c r="AF120" s="1552">
        <v>0</v>
      </c>
    </row>
    <row r="121" spans="1:32" s="4275" customFormat="1" ht="0.75" hidden="1" customHeight="1">
      <c r="A121" s="5557"/>
      <c r="D121" s="486"/>
      <c r="E121" s="938" t="str">
        <f>E120&amp;".0"</f>
        <v>.0</v>
      </c>
      <c r="F121" s="923"/>
      <c r="G121" s="1572"/>
      <c r="H121" s="918"/>
      <c r="I121" s="918"/>
      <c r="J121" s="922"/>
      <c r="AF121" s="1557">
        <v>0</v>
      </c>
    </row>
    <row r="122" spans="1:32" ht="15" hidden="1" customHeight="1">
      <c r="A122" s="5557"/>
      <c r="D122" s="1554"/>
      <c r="E122" s="508"/>
      <c r="F122" s="1089" t="s">
        <v>678</v>
      </c>
      <c r="G122" s="510"/>
      <c r="H122" s="511"/>
      <c r="I122" s="511"/>
      <c r="J122" s="929" t="s">
        <v>690</v>
      </c>
      <c r="K122" s="481"/>
      <c r="AF122" s="1552">
        <v>0</v>
      </c>
    </row>
    <row r="123" spans="1:32" ht="22.5" hidden="1" customHeight="1">
      <c r="A123" s="5557"/>
      <c r="D123" s="1559"/>
      <c r="E123" s="484" t="str">
        <f>FHD_NUM_P_79</f>
        <v/>
      </c>
      <c r="F123" s="1798" t="str">
        <f>FHD_P_79</f>
        <v/>
      </c>
      <c r="G123" s="1796" t="s">
        <v>654</v>
      </c>
      <c r="H123" s="515"/>
      <c r="I123" s="515"/>
      <c r="J123" s="227" t="str">
        <f>FHD_NOTE_P_79</f>
        <v/>
      </c>
      <c r="K123" s="481"/>
      <c r="AF123" s="1552">
        <v>0</v>
      </c>
    </row>
    <row r="124" spans="1:32" s="4275" customFormat="1" ht="0.75" hidden="1" customHeight="1">
      <c r="A124" s="5557"/>
      <c r="D124" s="486"/>
      <c r="E124" s="938" t="str">
        <f>E123&amp;".0"</f>
        <v>.0</v>
      </c>
      <c r="F124" s="924"/>
      <c r="G124" s="1572"/>
      <c r="H124" s="918"/>
      <c r="I124" s="918"/>
      <c r="J124" s="922"/>
      <c r="AF124" s="1557">
        <v>0</v>
      </c>
    </row>
    <row r="125" spans="1:32" ht="15" hidden="1" customHeight="1">
      <c r="A125" s="5557"/>
      <c r="D125" s="1554"/>
      <c r="E125" s="508"/>
      <c r="F125" s="1089" t="s">
        <v>678</v>
      </c>
      <c r="G125" s="510"/>
      <c r="H125" s="511"/>
      <c r="I125" s="511"/>
      <c r="J125" s="929" t="s">
        <v>691</v>
      </c>
      <c r="K125" s="481"/>
      <c r="AF125" s="1552">
        <v>0</v>
      </c>
    </row>
    <row r="126" spans="1:32" ht="22.5" hidden="1" customHeight="1">
      <c r="A126" s="5557"/>
      <c r="D126" s="1559"/>
      <c r="E126" s="484" t="str">
        <f>FHD_NUM_P_80</f>
        <v/>
      </c>
      <c r="F126" s="1798" t="str">
        <f>FHD_P_80</f>
        <v/>
      </c>
      <c r="G126" s="1796" t="s">
        <v>692</v>
      </c>
      <c r="H126" s="495"/>
      <c r="I126" s="495"/>
      <c r="J126" s="227" t="str">
        <f>FHD_NOTE_P_80</f>
        <v/>
      </c>
      <c r="K126" s="481"/>
      <c r="AF126" s="1552">
        <v>0</v>
      </c>
    </row>
    <row r="127" spans="1:32" ht="18.75" hidden="1" customHeight="1">
      <c r="A127" s="5557"/>
      <c r="D127" s="1559"/>
      <c r="E127" s="484" t="str">
        <f>FHD_NUM_P_81</f>
        <v/>
      </c>
      <c r="F127" s="1798" t="str">
        <f>FHD_P_81</f>
        <v/>
      </c>
      <c r="G127" s="1796" t="s">
        <v>693</v>
      </c>
      <c r="H127" s="495"/>
      <c r="I127" s="495"/>
      <c r="J127" s="227" t="str">
        <f>FHD_NOTE_P_81</f>
        <v/>
      </c>
      <c r="K127" s="481"/>
      <c r="AF127" s="1552">
        <v>0</v>
      </c>
    </row>
    <row r="128" spans="1:32" ht="18.75" hidden="1" customHeight="1">
      <c r="A128" s="5557"/>
      <c r="C128" s="1557" t="s">
        <v>680</v>
      </c>
      <c r="D128" s="1559"/>
      <c r="E128" s="484" t="str">
        <f>FHD_NUM_P_82</f>
        <v/>
      </c>
      <c r="F128" s="1798" t="str">
        <f>FHD_P_82</f>
        <v/>
      </c>
      <c r="G128" s="1796" t="s">
        <v>399</v>
      </c>
      <c r="H128" s="339"/>
      <c r="I128" s="339"/>
      <c r="J128" s="227" t="str">
        <f>FHD_NOTE_P_82</f>
        <v/>
      </c>
      <c r="K128" s="481"/>
      <c r="AF128" s="1552">
        <v>0</v>
      </c>
    </row>
    <row r="129" spans="1:32" ht="18.75" hidden="1" customHeight="1">
      <c r="A129" s="5557"/>
      <c r="C129" s="1557" t="s">
        <v>680</v>
      </c>
      <c r="D129" s="1559"/>
      <c r="E129" s="484" t="str">
        <f>FHD_NUM_P_83</f>
        <v/>
      </c>
      <c r="F129" s="1445" t="str">
        <f>FHD_P_83</f>
        <v/>
      </c>
      <c r="G129" s="1796" t="s">
        <v>399</v>
      </c>
      <c r="H129" s="339"/>
      <c r="I129" s="339"/>
      <c r="J129" s="227" t="str">
        <f>FHD_NOTE_P_83</f>
        <v/>
      </c>
      <c r="K129" s="481"/>
      <c r="AF129" s="1552">
        <v>0</v>
      </c>
    </row>
    <row r="130" spans="1:32" ht="18.75" hidden="1" customHeight="1">
      <c r="A130" s="5557"/>
      <c r="C130" s="1557" t="s">
        <v>680</v>
      </c>
      <c r="D130" s="1559"/>
      <c r="E130" s="484" t="str">
        <f>FHD_NUM_P_84</f>
        <v/>
      </c>
      <c r="F130" s="1445" t="str">
        <f>FHD_P_84</f>
        <v/>
      </c>
      <c r="G130" s="1796" t="s">
        <v>399</v>
      </c>
      <c r="H130" s="339"/>
      <c r="I130" s="339"/>
      <c r="J130" s="227" t="str">
        <f>FHD_NOTE_P_84</f>
        <v/>
      </c>
      <c r="K130" s="481"/>
      <c r="AF130" s="1552">
        <v>0</v>
      </c>
    </row>
    <row r="131" spans="1:32" ht="11.45" customHeight="1">
      <c r="D131" s="1559"/>
      <c r="AF131" s="1552">
        <v>11</v>
      </c>
    </row>
    <row r="132" spans="1:32" ht="13.5" customHeight="1">
      <c r="D132" s="1559"/>
      <c r="E132" s="274"/>
      <c r="F132" s="307"/>
      <c r="G132" s="307"/>
      <c r="H132" s="307"/>
      <c r="I132" s="1568"/>
      <c r="J132" s="519"/>
      <c r="AF132" s="1552">
        <v>13</v>
      </c>
    </row>
    <row r="133" spans="1:32" s="4299" customFormat="1" ht="11.45" customHeight="1">
      <c r="A133" s="913"/>
      <c r="B133" s="1557"/>
      <c r="C133" s="1557"/>
      <c r="D133" s="289"/>
      <c r="F133" s="1561"/>
      <c r="G133" s="1552"/>
      <c r="H133" s="1552"/>
      <c r="I133" s="1552"/>
      <c r="K133" s="1081"/>
      <c r="L133" s="1557"/>
      <c r="M133" s="1557"/>
      <c r="N133" s="1081"/>
      <c r="O133" s="1081"/>
      <c r="P133" s="1081"/>
      <c r="Q133" s="1081"/>
      <c r="R133" s="1557"/>
      <c r="S133" s="1081"/>
      <c r="T133" s="1081"/>
      <c r="U133" s="482"/>
      <c r="V133" s="1081"/>
      <c r="W133" s="1081"/>
      <c r="X133" s="1081"/>
      <c r="Y133" s="1081"/>
      <c r="Z133" s="1081"/>
      <c r="AA133" s="1553"/>
      <c r="AB133" s="504"/>
      <c r="AC133" s="504"/>
      <c r="AD133" s="504"/>
      <c r="AE133" s="504"/>
      <c r="AF133" s="1562">
        <v>11</v>
      </c>
    </row>
    <row r="134" spans="1:32" s="4299" customFormat="1" ht="11.45" customHeight="1">
      <c r="A134" s="913"/>
      <c r="B134" s="1557"/>
      <c r="C134" s="1557"/>
      <c r="D134" s="289"/>
      <c r="K134" s="1081"/>
      <c r="L134" s="1557"/>
      <c r="M134" s="1557"/>
      <c r="N134" s="1081"/>
      <c r="O134" s="1081"/>
      <c r="P134" s="1081"/>
      <c r="Q134" s="1081"/>
      <c r="R134" s="1557"/>
      <c r="S134" s="1081"/>
      <c r="T134" s="1081"/>
      <c r="U134" s="482"/>
      <c r="V134" s="1081"/>
      <c r="W134" s="1081"/>
      <c r="X134" s="1081"/>
      <c r="Y134" s="1081"/>
      <c r="Z134" s="1081"/>
      <c r="AA134" s="1553"/>
      <c r="AB134" s="504"/>
      <c r="AC134" s="504"/>
      <c r="AD134" s="504"/>
      <c r="AE134" s="504"/>
      <c r="AF134" s="1562">
        <v>11</v>
      </c>
    </row>
    <row r="135" spans="1:32" s="4299" customFormat="1" ht="11.45" customHeight="1">
      <c r="A135" s="913"/>
      <c r="B135" s="1557"/>
      <c r="C135" s="1557"/>
      <c r="D135" s="289"/>
      <c r="K135" s="1081"/>
      <c r="L135" s="1557"/>
      <c r="M135" s="1557"/>
      <c r="N135" s="1081"/>
      <c r="O135" s="1081"/>
      <c r="P135" s="1081"/>
      <c r="Q135" s="1081"/>
      <c r="R135" s="1557"/>
      <c r="S135" s="1081"/>
      <c r="T135" s="1081"/>
      <c r="U135" s="482"/>
      <c r="V135" s="1081"/>
      <c r="W135" s="1081"/>
      <c r="X135" s="1081"/>
      <c r="Y135" s="1081"/>
      <c r="Z135" s="1081"/>
      <c r="AA135" s="1553"/>
      <c r="AB135" s="504"/>
      <c r="AC135" s="504"/>
      <c r="AD135" s="504"/>
      <c r="AE135" s="504"/>
      <c r="AF135" s="1562">
        <v>11</v>
      </c>
    </row>
    <row r="136" spans="1:32" s="4299" customFormat="1" ht="11.45" customHeight="1">
      <c r="A136" s="913"/>
      <c r="B136" s="1557"/>
      <c r="C136" s="1557"/>
      <c r="D136" s="289"/>
      <c r="H136" s="504" t="str">
        <f>IF(H30-H31&lt;&gt;H72,"WARNING","")</f>
        <v/>
      </c>
      <c r="I136" s="504" t="str">
        <f>IF(I30-I31&lt;&gt;I72,"WARNING","")</f>
        <v/>
      </c>
      <c r="K136" s="1081"/>
      <c r="L136" s="1557"/>
      <c r="M136" s="1557"/>
      <c r="N136" s="1081"/>
      <c r="O136" s="1081"/>
      <c r="P136" s="1081"/>
      <c r="Q136" s="1081"/>
      <c r="R136" s="1557"/>
      <c r="S136" s="1081"/>
      <c r="T136" s="1081"/>
      <c r="U136" s="482"/>
      <c r="V136" s="1081"/>
      <c r="W136" s="1081"/>
      <c r="X136" s="1081"/>
      <c r="Y136" s="1081"/>
      <c r="Z136" s="1081"/>
      <c r="AA136" s="1553"/>
      <c r="AB136" s="504"/>
      <c r="AC136" s="504"/>
      <c r="AD136" s="504"/>
      <c r="AE136" s="504"/>
      <c r="AF136" s="1562">
        <v>11</v>
      </c>
    </row>
    <row r="137" spans="1:32" s="4299" customFormat="1" ht="11.45" customHeight="1">
      <c r="A137" s="913"/>
      <c r="B137" s="1557"/>
      <c r="C137" s="1557"/>
      <c r="D137" s="289"/>
      <c r="K137" s="1081"/>
      <c r="L137" s="1557"/>
      <c r="M137" s="1557"/>
      <c r="N137" s="1081"/>
      <c r="O137" s="1081"/>
      <c r="P137" s="1081"/>
      <c r="Q137" s="1081"/>
      <c r="R137" s="1557"/>
      <c r="S137" s="1081"/>
      <c r="T137" s="1081"/>
      <c r="U137" s="482"/>
      <c r="V137" s="1081"/>
      <c r="W137" s="1081"/>
      <c r="X137" s="1081"/>
      <c r="Y137" s="1081"/>
      <c r="Z137" s="1081"/>
      <c r="AA137" s="1553"/>
      <c r="AB137" s="504"/>
      <c r="AC137" s="504"/>
      <c r="AD137" s="504"/>
      <c r="AE137" s="504"/>
      <c r="AF137" s="1562">
        <v>11</v>
      </c>
    </row>
    <row r="138" spans="1:32" s="4299" customFormat="1" ht="11.45" customHeight="1">
      <c r="A138" s="913"/>
      <c r="B138" s="1557"/>
      <c r="C138" s="1557"/>
      <c r="D138" s="289"/>
      <c r="K138" s="1081"/>
      <c r="L138" s="1557"/>
      <c r="M138" s="1557"/>
      <c r="N138" s="1081"/>
      <c r="O138" s="1081"/>
      <c r="P138" s="1081"/>
      <c r="Q138" s="1081"/>
      <c r="R138" s="1557"/>
      <c r="S138" s="1081"/>
      <c r="T138" s="1081"/>
      <c r="U138" s="482"/>
      <c r="V138" s="1081"/>
      <c r="W138" s="1081"/>
      <c r="X138" s="1081"/>
      <c r="Y138" s="1081"/>
      <c r="Z138" s="1081"/>
      <c r="AA138" s="1553"/>
      <c r="AB138" s="504"/>
      <c r="AC138" s="504"/>
      <c r="AD138" s="504"/>
      <c r="AE138" s="504"/>
      <c r="AF138" s="1562">
        <v>11</v>
      </c>
    </row>
    <row r="139" spans="1:32" s="4299" customFormat="1" ht="11.45" customHeight="1">
      <c r="A139" s="913"/>
      <c r="B139" s="1557"/>
      <c r="C139" s="1557"/>
      <c r="D139" s="289"/>
      <c r="K139" s="1081"/>
      <c r="L139" s="1557"/>
      <c r="M139" s="1557"/>
      <c r="N139" s="1081"/>
      <c r="O139" s="1081"/>
      <c r="P139" s="1081"/>
      <c r="Q139" s="1081"/>
      <c r="R139" s="1557"/>
      <c r="S139" s="1081"/>
      <c r="T139" s="1081"/>
      <c r="U139" s="482"/>
      <c r="V139" s="1081"/>
      <c r="W139" s="1081"/>
      <c r="X139" s="1081"/>
      <c r="Y139" s="1081"/>
      <c r="Z139" s="1081"/>
      <c r="AA139" s="1553"/>
      <c r="AB139" s="504"/>
      <c r="AC139" s="504"/>
      <c r="AD139" s="504"/>
      <c r="AE139" s="504"/>
      <c r="AF139" s="1562">
        <v>11</v>
      </c>
    </row>
    <row r="140" spans="1:32" s="4299" customFormat="1" ht="11.45" customHeight="1">
      <c r="A140" s="913"/>
      <c r="B140" s="1557"/>
      <c r="C140" s="1557"/>
      <c r="D140" s="289"/>
      <c r="K140" s="1081"/>
      <c r="L140" s="1557"/>
      <c r="M140" s="1557"/>
      <c r="N140" s="1081"/>
      <c r="O140" s="1081"/>
      <c r="P140" s="1081"/>
      <c r="Q140" s="1081"/>
      <c r="R140" s="1557"/>
      <c r="S140" s="1081"/>
      <c r="T140" s="1081"/>
      <c r="U140" s="482"/>
      <c r="V140" s="1081"/>
      <c r="W140" s="1081"/>
      <c r="X140" s="1081"/>
      <c r="Y140" s="1081"/>
      <c r="Z140" s="1081"/>
      <c r="AA140" s="1553"/>
      <c r="AB140" s="504"/>
      <c r="AC140" s="504"/>
      <c r="AD140" s="504"/>
      <c r="AE140" s="504"/>
      <c r="AF140" s="1562">
        <v>11</v>
      </c>
    </row>
    <row r="141" spans="1:32" s="4299" customFormat="1" ht="11.45" customHeight="1">
      <c r="A141" s="913"/>
      <c r="B141" s="1557"/>
      <c r="C141" s="1557"/>
      <c r="D141" s="289"/>
      <c r="K141" s="1081"/>
      <c r="L141" s="1557"/>
      <c r="M141" s="1557"/>
      <c r="N141" s="1081"/>
      <c r="O141" s="1081"/>
      <c r="P141" s="1081"/>
      <c r="Q141" s="1081"/>
      <c r="R141" s="1557"/>
      <c r="S141" s="1081"/>
      <c r="T141" s="1081"/>
      <c r="U141" s="482"/>
      <c r="V141" s="1081"/>
      <c r="W141" s="1081"/>
      <c r="X141" s="1081"/>
      <c r="Y141" s="1081"/>
      <c r="Z141" s="1081"/>
      <c r="AA141" s="1553"/>
      <c r="AB141" s="504"/>
      <c r="AC141" s="504"/>
      <c r="AD141" s="504"/>
      <c r="AE141" s="504"/>
      <c r="AF141" s="1562">
        <v>11</v>
      </c>
    </row>
    <row r="142" spans="1:32" s="4299" customFormat="1" ht="11.45" customHeight="1">
      <c r="A142" s="913"/>
      <c r="B142" s="1557"/>
      <c r="C142" s="1557"/>
      <c r="D142" s="289"/>
      <c r="K142" s="1081"/>
      <c r="L142" s="1557"/>
      <c r="M142" s="1557"/>
      <c r="N142" s="1081"/>
      <c r="O142" s="1081"/>
      <c r="P142" s="1081"/>
      <c r="Q142" s="1081"/>
      <c r="R142" s="1557"/>
      <c r="S142" s="1081"/>
      <c r="T142" s="1081"/>
      <c r="U142" s="482"/>
      <c r="V142" s="1081"/>
      <c r="W142" s="1081"/>
      <c r="X142" s="1081"/>
      <c r="Y142" s="1081"/>
      <c r="Z142" s="1081"/>
      <c r="AA142" s="1553"/>
      <c r="AB142" s="504"/>
      <c r="AC142" s="504"/>
      <c r="AD142" s="504"/>
      <c r="AE142" s="504"/>
      <c r="AF142" s="1562">
        <v>11</v>
      </c>
    </row>
    <row r="143" spans="1:32" s="4299" customFormat="1" ht="11.45" customHeight="1">
      <c r="A143" s="913"/>
      <c r="B143" s="1557"/>
      <c r="C143" s="1557"/>
      <c r="D143" s="289"/>
      <c r="K143" s="1081"/>
      <c r="L143" s="1557"/>
      <c r="M143" s="1557"/>
      <c r="N143" s="1081"/>
      <c r="O143" s="1081"/>
      <c r="P143" s="1081"/>
      <c r="Q143" s="1081"/>
      <c r="R143" s="1557"/>
      <c r="S143" s="1081"/>
      <c r="T143" s="1081"/>
      <c r="U143" s="482"/>
      <c r="V143" s="1081"/>
      <c r="W143" s="1081"/>
      <c r="X143" s="1081"/>
      <c r="Y143" s="1081"/>
      <c r="Z143" s="1081"/>
      <c r="AA143" s="1553"/>
      <c r="AB143" s="504"/>
      <c r="AC143" s="504"/>
      <c r="AD143" s="504"/>
      <c r="AE143" s="504"/>
      <c r="AF143" s="1562">
        <v>11</v>
      </c>
    </row>
    <row r="144" spans="1:32" s="4299" customFormat="1" ht="11.45" customHeight="1">
      <c r="A144" s="913"/>
      <c r="B144" s="1557"/>
      <c r="C144" s="1557"/>
      <c r="D144" s="289"/>
      <c r="K144" s="1081"/>
      <c r="L144" s="1557"/>
      <c r="M144" s="1557"/>
      <c r="N144" s="1081"/>
      <c r="O144" s="1081"/>
      <c r="P144" s="1081"/>
      <c r="Q144" s="1081"/>
      <c r="R144" s="1557"/>
      <c r="S144" s="1081"/>
      <c r="T144" s="1081"/>
      <c r="U144" s="482"/>
      <c r="V144" s="1081"/>
      <c r="W144" s="1081"/>
      <c r="X144" s="1081"/>
      <c r="Y144" s="1081"/>
      <c r="Z144" s="1081"/>
      <c r="AA144" s="1553"/>
      <c r="AB144" s="504"/>
      <c r="AC144" s="504"/>
      <c r="AD144" s="504"/>
      <c r="AE144" s="504"/>
      <c r="AF144" s="1562">
        <v>11</v>
      </c>
    </row>
    <row r="145" spans="1:32" s="4299" customFormat="1" ht="11.45" customHeight="1">
      <c r="A145" s="913"/>
      <c r="B145" s="1557"/>
      <c r="C145" s="1557"/>
      <c r="D145" s="289"/>
      <c r="K145" s="1081"/>
      <c r="L145" s="1557"/>
      <c r="M145" s="1557"/>
      <c r="N145" s="1081"/>
      <c r="O145" s="1081"/>
      <c r="P145" s="1081"/>
      <c r="Q145" s="1081"/>
      <c r="R145" s="1557"/>
      <c r="S145" s="1081"/>
      <c r="T145" s="1081"/>
      <c r="U145" s="482"/>
      <c r="V145" s="1081"/>
      <c r="W145" s="1081"/>
      <c r="X145" s="1081"/>
      <c r="Y145" s="1081"/>
      <c r="Z145" s="1081"/>
      <c r="AA145" s="1553"/>
      <c r="AB145" s="504"/>
      <c r="AC145" s="504"/>
      <c r="AD145" s="504"/>
      <c r="AE145" s="504"/>
      <c r="AF145" s="1562">
        <v>11</v>
      </c>
    </row>
    <row r="146" spans="1:32" s="4299" customFormat="1" ht="11.45" customHeight="1">
      <c r="A146" s="913"/>
      <c r="B146" s="1557"/>
      <c r="C146" s="1557"/>
      <c r="D146" s="289"/>
      <c r="K146" s="1081"/>
      <c r="L146" s="1557"/>
      <c r="M146" s="1557"/>
      <c r="N146" s="1081"/>
      <c r="O146" s="1081"/>
      <c r="P146" s="1081"/>
      <c r="Q146" s="1081"/>
      <c r="R146" s="1557"/>
      <c r="S146" s="1081"/>
      <c r="T146" s="1081"/>
      <c r="U146" s="482"/>
      <c r="V146" s="1081"/>
      <c r="W146" s="1081"/>
      <c r="X146" s="1081"/>
      <c r="Y146" s="1081"/>
      <c r="Z146" s="1081"/>
      <c r="AA146" s="1553"/>
      <c r="AB146" s="504"/>
      <c r="AC146" s="504"/>
      <c r="AD146" s="504"/>
      <c r="AE146" s="504"/>
      <c r="AF146" s="1562">
        <v>11</v>
      </c>
    </row>
    <row r="147" spans="1:32" s="4299" customFormat="1" ht="11.45" customHeight="1">
      <c r="A147" s="913"/>
      <c r="B147" s="1557"/>
      <c r="C147" s="1557"/>
      <c r="D147" s="289"/>
      <c r="K147" s="1081"/>
      <c r="L147" s="1557"/>
      <c r="M147" s="1557"/>
      <c r="N147" s="1081"/>
      <c r="O147" s="1081"/>
      <c r="P147" s="1081"/>
      <c r="Q147" s="1081"/>
      <c r="R147" s="1557"/>
      <c r="S147" s="1081"/>
      <c r="T147" s="1081"/>
      <c r="U147" s="482"/>
      <c r="V147" s="1081"/>
      <c r="W147" s="1081"/>
      <c r="X147" s="1081"/>
      <c r="Y147" s="1081"/>
      <c r="Z147" s="1081"/>
      <c r="AA147" s="1553"/>
      <c r="AB147" s="504"/>
      <c r="AC147" s="504"/>
      <c r="AD147" s="504"/>
      <c r="AE147" s="504"/>
      <c r="AF147" s="1562">
        <v>11</v>
      </c>
    </row>
    <row r="148" spans="1:32" s="4299" customFormat="1" ht="11.45" customHeight="1">
      <c r="A148" s="913"/>
      <c r="B148" s="1557"/>
      <c r="C148" s="1557"/>
      <c r="D148" s="289"/>
      <c r="K148" s="1081"/>
      <c r="L148" s="1557"/>
      <c r="M148" s="1557"/>
      <c r="N148" s="1081"/>
      <c r="O148" s="1081"/>
      <c r="P148" s="1081"/>
      <c r="Q148" s="1081"/>
      <c r="R148" s="1557"/>
      <c r="S148" s="1081"/>
      <c r="T148" s="1081"/>
      <c r="U148" s="482"/>
      <c r="V148" s="1081"/>
      <c r="W148" s="1081"/>
      <c r="X148" s="1081"/>
      <c r="Y148" s="1081"/>
      <c r="Z148" s="1081"/>
      <c r="AA148" s="1553"/>
      <c r="AB148" s="504"/>
      <c r="AC148" s="504"/>
      <c r="AD148" s="504"/>
      <c r="AE148" s="504"/>
      <c r="AF148" s="1562">
        <v>11</v>
      </c>
    </row>
    <row r="149" spans="1:32" s="4299" customFormat="1" ht="11.45" customHeight="1">
      <c r="A149" s="913"/>
      <c r="B149" s="1557"/>
      <c r="C149" s="1557"/>
      <c r="D149" s="289"/>
      <c r="K149" s="1081"/>
      <c r="L149" s="1557"/>
      <c r="M149" s="1557"/>
      <c r="N149" s="1081"/>
      <c r="O149" s="1081"/>
      <c r="P149" s="1081"/>
      <c r="Q149" s="1081"/>
      <c r="R149" s="1557"/>
      <c r="S149" s="1081"/>
      <c r="T149" s="1081"/>
      <c r="U149" s="482"/>
      <c r="V149" s="1081"/>
      <c r="W149" s="1081"/>
      <c r="X149" s="1081"/>
      <c r="Y149" s="1081"/>
      <c r="Z149" s="1081"/>
      <c r="AA149" s="1553"/>
      <c r="AB149" s="504"/>
      <c r="AC149" s="504"/>
      <c r="AD149" s="504"/>
      <c r="AE149" s="504"/>
      <c r="AF149" s="1562">
        <v>11</v>
      </c>
    </row>
    <row r="150" spans="1:32" s="4299" customFormat="1" ht="11.45" customHeight="1">
      <c r="A150" s="913"/>
      <c r="B150" s="1557"/>
      <c r="C150" s="1557"/>
      <c r="D150" s="289"/>
      <c r="K150" s="1081"/>
      <c r="L150" s="1557"/>
      <c r="M150" s="1557"/>
      <c r="N150" s="1081"/>
      <c r="O150" s="1081"/>
      <c r="P150" s="1081"/>
      <c r="Q150" s="1081"/>
      <c r="R150" s="1557"/>
      <c r="S150" s="1081"/>
      <c r="T150" s="1081"/>
      <c r="U150" s="482"/>
      <c r="V150" s="1081"/>
      <c r="W150" s="1081"/>
      <c r="X150" s="1081"/>
      <c r="Y150" s="1081"/>
      <c r="Z150" s="1081"/>
      <c r="AA150" s="1553"/>
      <c r="AB150" s="504"/>
      <c r="AC150" s="504"/>
      <c r="AD150" s="504"/>
      <c r="AE150" s="504"/>
      <c r="AF150" s="1562">
        <v>11</v>
      </c>
    </row>
    <row r="151" spans="1:32" s="4299" customFormat="1" ht="11.45" customHeight="1">
      <c r="A151" s="913"/>
      <c r="B151" s="1557"/>
      <c r="C151" s="1557"/>
      <c r="D151" s="289"/>
      <c r="K151" s="1081"/>
      <c r="L151" s="1557"/>
      <c r="M151" s="1557"/>
      <c r="N151" s="1081"/>
      <c r="O151" s="1081"/>
      <c r="P151" s="1081"/>
      <c r="Q151" s="1081"/>
      <c r="R151" s="1557"/>
      <c r="S151" s="1081"/>
      <c r="T151" s="1081"/>
      <c r="U151" s="482"/>
      <c r="V151" s="1081"/>
      <c r="W151" s="1081"/>
      <c r="X151" s="1081"/>
      <c r="Y151" s="1081"/>
      <c r="Z151" s="1081"/>
      <c r="AA151" s="1553"/>
      <c r="AB151" s="504"/>
      <c r="AC151" s="504"/>
      <c r="AD151" s="504"/>
      <c r="AE151" s="504"/>
      <c r="AF151" s="1562">
        <v>11</v>
      </c>
    </row>
    <row r="152" spans="1:32" s="4299" customFormat="1" ht="11.45" customHeight="1">
      <c r="A152" s="913"/>
      <c r="B152" s="1557"/>
      <c r="C152" s="1557"/>
      <c r="D152" s="289"/>
      <c r="K152" s="1081"/>
      <c r="L152" s="1557"/>
      <c r="M152" s="1557"/>
      <c r="N152" s="1081"/>
      <c r="O152" s="1081"/>
      <c r="P152" s="1081"/>
      <c r="Q152" s="1081"/>
      <c r="R152" s="1557"/>
      <c r="S152" s="1081"/>
      <c r="T152" s="1081"/>
      <c r="U152" s="482"/>
      <c r="V152" s="1081"/>
      <c r="W152" s="1081"/>
      <c r="X152" s="1081"/>
      <c r="Y152" s="1081"/>
      <c r="Z152" s="1081"/>
      <c r="AA152" s="1553"/>
      <c r="AB152" s="504"/>
      <c r="AC152" s="504"/>
      <c r="AD152" s="504"/>
      <c r="AE152" s="504"/>
      <c r="AF152" s="1562">
        <v>11</v>
      </c>
    </row>
    <row r="153" spans="1:32" s="4299" customFormat="1" ht="11.45" customHeight="1">
      <c r="A153" s="913"/>
      <c r="B153" s="1557"/>
      <c r="C153" s="1557"/>
      <c r="D153" s="289"/>
      <c r="K153" s="1081"/>
      <c r="L153" s="1557"/>
      <c r="M153" s="1557"/>
      <c r="N153" s="1081"/>
      <c r="O153" s="1081"/>
      <c r="P153" s="1081"/>
      <c r="Q153" s="1081"/>
      <c r="R153" s="1557"/>
      <c r="S153" s="1081"/>
      <c r="T153" s="1081"/>
      <c r="U153" s="482"/>
      <c r="V153" s="1081"/>
      <c r="W153" s="1081"/>
      <c r="X153" s="1081"/>
      <c r="Y153" s="1081"/>
      <c r="Z153" s="1081"/>
      <c r="AA153" s="1553"/>
      <c r="AB153" s="504"/>
      <c r="AC153" s="504"/>
      <c r="AD153" s="504"/>
      <c r="AE153" s="504"/>
      <c r="AF153" s="1562">
        <v>11</v>
      </c>
    </row>
    <row r="154" spans="1:32" s="4299" customFormat="1" ht="11.45" customHeight="1">
      <c r="A154" s="913"/>
      <c r="B154" s="1557"/>
      <c r="C154" s="1557"/>
      <c r="D154" s="289"/>
      <c r="K154" s="1081"/>
      <c r="L154" s="1557"/>
      <c r="M154" s="1557"/>
      <c r="N154" s="1081"/>
      <c r="O154" s="1081"/>
      <c r="P154" s="1081"/>
      <c r="Q154" s="1081"/>
      <c r="R154" s="1557"/>
      <c r="S154" s="1081"/>
      <c r="T154" s="1081"/>
      <c r="U154" s="482"/>
      <c r="V154" s="1081"/>
      <c r="W154" s="1081"/>
      <c r="X154" s="1081"/>
      <c r="Y154" s="1081"/>
      <c r="Z154" s="1081"/>
      <c r="AA154" s="1553"/>
      <c r="AB154" s="504"/>
      <c r="AC154" s="504"/>
      <c r="AD154" s="504"/>
      <c r="AE154" s="504"/>
      <c r="AF154" s="1562">
        <v>11</v>
      </c>
    </row>
    <row r="155" spans="1:32" s="4299" customFormat="1" ht="11.45" customHeight="1">
      <c r="A155" s="913"/>
      <c r="B155" s="1557"/>
      <c r="C155" s="1557"/>
      <c r="D155" s="289"/>
      <c r="K155" s="1081"/>
      <c r="L155" s="1557"/>
      <c r="M155" s="1557"/>
      <c r="N155" s="1081"/>
      <c r="O155" s="1081"/>
      <c r="P155" s="1081"/>
      <c r="Q155" s="1081"/>
      <c r="R155" s="1557"/>
      <c r="S155" s="1081"/>
      <c r="T155" s="1081"/>
      <c r="U155" s="482"/>
      <c r="V155" s="1081"/>
      <c r="W155" s="1081"/>
      <c r="X155" s="1081"/>
      <c r="Y155" s="1081"/>
      <c r="Z155" s="1081"/>
      <c r="AA155" s="1553"/>
      <c r="AB155" s="504"/>
      <c r="AC155" s="504"/>
      <c r="AD155" s="504"/>
      <c r="AE155" s="504"/>
      <c r="AF155" s="1562">
        <v>11</v>
      </c>
    </row>
    <row r="156" spans="1:32" s="4299" customFormat="1" ht="11.45" customHeight="1">
      <c r="A156" s="913"/>
      <c r="B156" s="1557"/>
      <c r="C156" s="1557"/>
      <c r="D156" s="289"/>
      <c r="K156" s="1081"/>
      <c r="L156" s="1557"/>
      <c r="M156" s="1557"/>
      <c r="N156" s="1081"/>
      <c r="O156" s="1081"/>
      <c r="P156" s="1081"/>
      <c r="Q156" s="1081"/>
      <c r="R156" s="1557"/>
      <c r="S156" s="1081"/>
      <c r="T156" s="1081"/>
      <c r="U156" s="482"/>
      <c r="V156" s="1081"/>
      <c r="W156" s="1081"/>
      <c r="X156" s="1081"/>
      <c r="Y156" s="1081"/>
      <c r="Z156" s="1081"/>
      <c r="AA156" s="1553"/>
      <c r="AB156" s="504"/>
      <c r="AC156" s="504"/>
      <c r="AD156" s="504"/>
      <c r="AE156" s="504"/>
      <c r="AF156" s="1562">
        <v>11</v>
      </c>
    </row>
    <row r="157" spans="1:32" s="4299" customFormat="1" ht="11.45" customHeight="1">
      <c r="A157" s="913"/>
      <c r="B157" s="1557"/>
      <c r="C157" s="1557"/>
      <c r="D157" s="289"/>
      <c r="K157" s="1081"/>
      <c r="L157" s="1557"/>
      <c r="M157" s="1557"/>
      <c r="N157" s="1081"/>
      <c r="O157" s="1081"/>
      <c r="P157" s="1081"/>
      <c r="Q157" s="1081"/>
      <c r="R157" s="1557"/>
      <c r="S157" s="1081"/>
      <c r="T157" s="1081"/>
      <c r="U157" s="482"/>
      <c r="V157" s="1081"/>
      <c r="W157" s="1081"/>
      <c r="X157" s="1081"/>
      <c r="Y157" s="1081"/>
      <c r="Z157" s="1081"/>
      <c r="AA157" s="1553"/>
      <c r="AB157" s="504"/>
      <c r="AC157" s="504"/>
      <c r="AD157" s="504"/>
      <c r="AE157" s="504"/>
      <c r="AF157" s="1562">
        <v>11</v>
      </c>
    </row>
    <row r="158" spans="1:32" s="4299" customFormat="1" ht="11.45" customHeight="1">
      <c r="A158" s="913"/>
      <c r="B158" s="1557"/>
      <c r="C158" s="1557"/>
      <c r="D158" s="289"/>
      <c r="K158" s="1081"/>
      <c r="L158" s="1557"/>
      <c r="M158" s="1557"/>
      <c r="N158" s="1081"/>
      <c r="O158" s="1081"/>
      <c r="P158" s="1081"/>
      <c r="Q158" s="1081"/>
      <c r="R158" s="1557"/>
      <c r="S158" s="1081"/>
      <c r="T158" s="1081"/>
      <c r="U158" s="482"/>
      <c r="V158" s="1081"/>
      <c r="W158" s="1081"/>
      <c r="X158" s="1081"/>
      <c r="Y158" s="1081"/>
      <c r="Z158" s="1081"/>
      <c r="AA158" s="1553"/>
      <c r="AB158" s="504"/>
      <c r="AC158" s="504"/>
      <c r="AD158" s="504"/>
      <c r="AE158" s="504"/>
      <c r="AF158" s="1562">
        <v>11</v>
      </c>
    </row>
    <row r="159" spans="1:32" s="4299" customFormat="1" ht="11.45" customHeight="1">
      <c r="A159" s="913"/>
      <c r="B159" s="1557"/>
      <c r="C159" s="1557"/>
      <c r="D159" s="289"/>
      <c r="K159" s="1081"/>
      <c r="L159" s="1557"/>
      <c r="M159" s="1557"/>
      <c r="N159" s="1081"/>
      <c r="O159" s="1081"/>
      <c r="P159" s="1081"/>
      <c r="Q159" s="1081"/>
      <c r="R159" s="1557"/>
      <c r="S159" s="1081"/>
      <c r="T159" s="1081"/>
      <c r="U159" s="482"/>
      <c r="V159" s="1081"/>
      <c r="W159" s="1081"/>
      <c r="X159" s="1081"/>
      <c r="Y159" s="1081"/>
      <c r="Z159" s="1081"/>
      <c r="AA159" s="1553"/>
      <c r="AB159" s="504"/>
      <c r="AC159" s="504"/>
      <c r="AD159" s="504"/>
      <c r="AE159" s="504"/>
      <c r="AF159" s="1562">
        <v>11</v>
      </c>
    </row>
    <row r="160" spans="1:32" s="4299" customFormat="1" ht="11.45" customHeight="1">
      <c r="A160" s="913"/>
      <c r="B160" s="1557"/>
      <c r="C160" s="1557"/>
      <c r="D160" s="289"/>
      <c r="K160" s="1081"/>
      <c r="L160" s="1557"/>
      <c r="M160" s="1557"/>
      <c r="N160" s="1081"/>
      <c r="O160" s="1081"/>
      <c r="P160" s="1081"/>
      <c r="Q160" s="1081"/>
      <c r="R160" s="1557"/>
      <c r="S160" s="1081"/>
      <c r="T160" s="1081"/>
      <c r="U160" s="482"/>
      <c r="V160" s="1081"/>
      <c r="W160" s="1081"/>
      <c r="X160" s="1081"/>
      <c r="Y160" s="1081"/>
      <c r="Z160" s="1081"/>
      <c r="AA160" s="1553"/>
      <c r="AB160" s="504"/>
      <c r="AC160" s="504"/>
      <c r="AD160" s="504"/>
      <c r="AE160" s="504"/>
      <c r="AF160" s="1562">
        <v>11</v>
      </c>
    </row>
    <row r="161" spans="1:32" s="4299" customFormat="1" ht="11.45" customHeight="1">
      <c r="A161" s="913"/>
      <c r="B161" s="1557"/>
      <c r="C161" s="1557"/>
      <c r="D161" s="289"/>
      <c r="K161" s="1081"/>
      <c r="L161" s="1557"/>
      <c r="M161" s="1557"/>
      <c r="N161" s="1081"/>
      <c r="O161" s="1081"/>
      <c r="P161" s="1081"/>
      <c r="Q161" s="1081"/>
      <c r="R161" s="1557"/>
      <c r="S161" s="1081"/>
      <c r="T161" s="1081"/>
      <c r="U161" s="482"/>
      <c r="V161" s="1081"/>
      <c r="W161" s="1081"/>
      <c r="X161" s="1081"/>
      <c r="Y161" s="1081"/>
      <c r="Z161" s="1081"/>
      <c r="AA161" s="1553"/>
      <c r="AB161" s="504"/>
      <c r="AC161" s="504"/>
      <c r="AD161" s="504"/>
      <c r="AE161" s="504"/>
      <c r="AF161" s="1562">
        <v>11</v>
      </c>
    </row>
    <row r="162" spans="1:32" s="4299" customFormat="1" ht="11.45" customHeight="1">
      <c r="A162" s="913"/>
      <c r="B162" s="1557"/>
      <c r="C162" s="1557"/>
      <c r="D162" s="289"/>
      <c r="K162" s="1081"/>
      <c r="L162" s="1557"/>
      <c r="M162" s="1557"/>
      <c r="N162" s="1081"/>
      <c r="O162" s="1081"/>
      <c r="P162" s="1081"/>
      <c r="Q162" s="1081"/>
      <c r="R162" s="1557"/>
      <c r="S162" s="1081"/>
      <c r="T162" s="1081"/>
      <c r="U162" s="482"/>
      <c r="V162" s="1081"/>
      <c r="W162" s="1081"/>
      <c r="X162" s="1081"/>
      <c r="Y162" s="1081"/>
      <c r="Z162" s="1081"/>
      <c r="AA162" s="1553"/>
      <c r="AB162" s="504"/>
      <c r="AC162" s="504"/>
      <c r="AD162" s="504"/>
      <c r="AE162" s="504"/>
      <c r="AF162" s="1562">
        <v>11</v>
      </c>
    </row>
    <row r="163" spans="1:32" s="4299" customFormat="1" ht="11.45" customHeight="1">
      <c r="A163" s="913"/>
      <c r="B163" s="1557"/>
      <c r="C163" s="1557"/>
      <c r="D163" s="289"/>
      <c r="K163" s="1081"/>
      <c r="L163" s="1557"/>
      <c r="M163" s="1557"/>
      <c r="N163" s="1081"/>
      <c r="O163" s="1081"/>
      <c r="P163" s="1081"/>
      <c r="Q163" s="1081"/>
      <c r="R163" s="1557"/>
      <c r="S163" s="1081"/>
      <c r="T163" s="1081"/>
      <c r="U163" s="482"/>
      <c r="V163" s="1081"/>
      <c r="W163" s="1081"/>
      <c r="X163" s="1081"/>
      <c r="Y163" s="1081"/>
      <c r="Z163" s="1081"/>
      <c r="AA163" s="1553"/>
      <c r="AB163" s="504"/>
      <c r="AC163" s="504"/>
      <c r="AD163" s="504"/>
      <c r="AE163" s="504"/>
      <c r="AF163" s="1562">
        <v>11</v>
      </c>
    </row>
    <row r="164" spans="1:32" s="4299" customFormat="1" ht="11.45" customHeight="1">
      <c r="A164" s="913"/>
      <c r="B164" s="1557"/>
      <c r="C164" s="1557"/>
      <c r="D164" s="289"/>
      <c r="K164" s="1081"/>
      <c r="L164" s="1557"/>
      <c r="M164" s="1557"/>
      <c r="N164" s="1081"/>
      <c r="O164" s="1081"/>
      <c r="P164" s="1081"/>
      <c r="Q164" s="1081"/>
      <c r="R164" s="1557"/>
      <c r="S164" s="1081"/>
      <c r="T164" s="1081"/>
      <c r="U164" s="482"/>
      <c r="V164" s="1081"/>
      <c r="W164" s="1081"/>
      <c r="X164" s="1081"/>
      <c r="Y164" s="1081"/>
      <c r="Z164" s="1081"/>
      <c r="AA164" s="1553"/>
      <c r="AB164" s="504"/>
      <c r="AC164" s="504"/>
      <c r="AD164" s="504"/>
      <c r="AE164" s="504"/>
      <c r="AF164" s="1562">
        <v>11</v>
      </c>
    </row>
    <row r="165" spans="1:32" s="4299" customFormat="1" ht="11.45" customHeight="1">
      <c r="A165" s="913"/>
      <c r="B165" s="1557"/>
      <c r="C165" s="1557"/>
      <c r="D165" s="289"/>
      <c r="K165" s="1081"/>
      <c r="L165" s="1557"/>
      <c r="M165" s="1557"/>
      <c r="N165" s="1081"/>
      <c r="O165" s="1081"/>
      <c r="P165" s="1081"/>
      <c r="Q165" s="1081"/>
      <c r="R165" s="1557"/>
      <c r="S165" s="1081"/>
      <c r="T165" s="1081"/>
      <c r="U165" s="482"/>
      <c r="V165" s="1081"/>
      <c r="W165" s="1081"/>
      <c r="X165" s="1081"/>
      <c r="Y165" s="1081"/>
      <c r="Z165" s="1081"/>
      <c r="AA165" s="1553"/>
      <c r="AB165" s="504"/>
      <c r="AC165" s="504"/>
      <c r="AD165" s="504"/>
      <c r="AE165" s="504"/>
      <c r="AF165" s="1562">
        <v>11</v>
      </c>
    </row>
    <row r="166" spans="1:32" s="4299" customFormat="1" ht="11.45" customHeight="1">
      <c r="A166" s="913"/>
      <c r="B166" s="1557"/>
      <c r="C166" s="1557"/>
      <c r="D166" s="289"/>
      <c r="K166" s="1081"/>
      <c r="L166" s="1557"/>
      <c r="M166" s="1557"/>
      <c r="N166" s="1081"/>
      <c r="O166" s="1081"/>
      <c r="P166" s="1081"/>
      <c r="Q166" s="1081"/>
      <c r="R166" s="1557"/>
      <c r="S166" s="1081"/>
      <c r="T166" s="1081"/>
      <c r="U166" s="482"/>
      <c r="V166" s="1081"/>
      <c r="W166" s="1081"/>
      <c r="X166" s="1081"/>
      <c r="Y166" s="1081"/>
      <c r="Z166" s="1081"/>
      <c r="AA166" s="1553"/>
      <c r="AB166" s="504"/>
      <c r="AC166" s="504"/>
      <c r="AD166" s="504"/>
      <c r="AE166" s="504"/>
      <c r="AF166" s="1562">
        <v>11</v>
      </c>
    </row>
    <row r="167" spans="1:32" s="4299" customFormat="1" ht="11.45" customHeight="1">
      <c r="A167" s="913"/>
      <c r="B167" s="1557"/>
      <c r="C167" s="1557"/>
      <c r="D167" s="289"/>
      <c r="K167" s="1081"/>
      <c r="L167" s="1557"/>
      <c r="M167" s="1557"/>
      <c r="N167" s="1081"/>
      <c r="O167" s="1081"/>
      <c r="P167" s="1081"/>
      <c r="Q167" s="1081"/>
      <c r="R167" s="1557"/>
      <c r="S167" s="1081"/>
      <c r="T167" s="1081"/>
      <c r="U167" s="482"/>
      <c r="V167" s="1081"/>
      <c r="W167" s="1081"/>
      <c r="X167" s="1081"/>
      <c r="Y167" s="1081"/>
      <c r="Z167" s="1081"/>
      <c r="AA167" s="1553"/>
      <c r="AB167" s="504"/>
      <c r="AC167" s="504"/>
      <c r="AD167" s="504"/>
      <c r="AE167" s="504"/>
      <c r="AF167" s="1562">
        <v>11</v>
      </c>
    </row>
    <row r="168" spans="1:32" s="4299" customFormat="1" ht="11.45" customHeight="1">
      <c r="A168" s="913"/>
      <c r="B168" s="1557"/>
      <c r="C168" s="1557"/>
      <c r="D168" s="289"/>
      <c r="K168" s="1081"/>
      <c r="L168" s="1557"/>
      <c r="M168" s="1557"/>
      <c r="N168" s="1081"/>
      <c r="O168" s="1081"/>
      <c r="P168" s="1081"/>
      <c r="Q168" s="1081"/>
      <c r="R168" s="1557"/>
      <c r="S168" s="1081"/>
      <c r="T168" s="1081"/>
      <c r="U168" s="482"/>
      <c r="V168" s="1081"/>
      <c r="W168" s="1081"/>
      <c r="X168" s="1081"/>
      <c r="Y168" s="1081"/>
      <c r="Z168" s="1081"/>
      <c r="AA168" s="1553"/>
      <c r="AB168" s="504"/>
      <c r="AC168" s="504"/>
      <c r="AD168" s="504"/>
      <c r="AE168" s="504"/>
      <c r="AF168" s="1562">
        <v>11</v>
      </c>
    </row>
    <row r="169" spans="1:32" s="4299" customFormat="1" ht="11.45" customHeight="1">
      <c r="A169" s="913"/>
      <c r="B169" s="1557"/>
      <c r="C169" s="1557"/>
      <c r="D169" s="289"/>
      <c r="K169" s="1081"/>
      <c r="L169" s="1557"/>
      <c r="M169" s="1557"/>
      <c r="N169" s="1081"/>
      <c r="O169" s="1081"/>
      <c r="P169" s="1081"/>
      <c r="Q169" s="1081"/>
      <c r="R169" s="1557"/>
      <c r="S169" s="1081"/>
      <c r="T169" s="1081"/>
      <c r="U169" s="482"/>
      <c r="V169" s="1081"/>
      <c r="W169" s="1081"/>
      <c r="X169" s="1081"/>
      <c r="Y169" s="1081"/>
      <c r="Z169" s="1081"/>
      <c r="AA169" s="1553"/>
      <c r="AB169" s="504"/>
      <c r="AC169" s="504"/>
      <c r="AD169" s="504"/>
      <c r="AE169" s="504"/>
      <c r="AF169" s="1562">
        <v>11</v>
      </c>
    </row>
    <row r="170" spans="1:32" s="4299" customFormat="1" ht="11.45" customHeight="1">
      <c r="A170" s="913"/>
      <c r="B170" s="1557"/>
      <c r="C170" s="1557"/>
      <c r="D170" s="289"/>
      <c r="K170" s="1081"/>
      <c r="L170" s="1557"/>
      <c r="M170" s="1557"/>
      <c r="N170" s="1081"/>
      <c r="O170" s="1081"/>
      <c r="P170" s="1081"/>
      <c r="Q170" s="1081"/>
      <c r="R170" s="1557"/>
      <c r="S170" s="1081"/>
      <c r="T170" s="1081"/>
      <c r="U170" s="482"/>
      <c r="V170" s="1081"/>
      <c r="W170" s="1081"/>
      <c r="X170" s="1081"/>
      <c r="Y170" s="1081"/>
      <c r="Z170" s="1081"/>
      <c r="AA170" s="1553"/>
      <c r="AB170" s="504"/>
      <c r="AC170" s="504"/>
      <c r="AD170" s="504"/>
      <c r="AE170" s="504"/>
      <c r="AF170" s="1562">
        <v>11</v>
      </c>
    </row>
    <row r="171" spans="1:32" s="4299" customFormat="1" ht="11.45" customHeight="1">
      <c r="A171" s="913"/>
      <c r="B171" s="1557"/>
      <c r="C171" s="1557"/>
      <c r="D171" s="289"/>
      <c r="K171" s="1081"/>
      <c r="L171" s="1557"/>
      <c r="M171" s="1557"/>
      <c r="N171" s="1081"/>
      <c r="O171" s="1081"/>
      <c r="P171" s="1081"/>
      <c r="Q171" s="1081"/>
      <c r="R171" s="1557"/>
      <c r="S171" s="1081"/>
      <c r="T171" s="1081"/>
      <c r="U171" s="482"/>
      <c r="V171" s="1081"/>
      <c r="W171" s="1081"/>
      <c r="X171" s="1081"/>
      <c r="Y171" s="1081"/>
      <c r="Z171" s="1081"/>
      <c r="AA171" s="1553"/>
      <c r="AB171" s="504"/>
      <c r="AC171" s="504"/>
      <c r="AD171" s="504"/>
      <c r="AE171" s="504"/>
      <c r="AF171" s="1562">
        <v>11</v>
      </c>
    </row>
    <row r="172" spans="1:32" s="4299" customFormat="1" ht="11.45" customHeight="1">
      <c r="A172" s="913"/>
      <c r="B172" s="1557"/>
      <c r="C172" s="1557"/>
      <c r="D172" s="289"/>
      <c r="K172" s="1081"/>
      <c r="L172" s="1557"/>
      <c r="M172" s="1557"/>
      <c r="N172" s="1081"/>
      <c r="O172" s="1081"/>
      <c r="P172" s="1081"/>
      <c r="Q172" s="1081"/>
      <c r="R172" s="1557"/>
      <c r="S172" s="1081"/>
      <c r="T172" s="1081"/>
      <c r="U172" s="482"/>
      <c r="V172" s="1081"/>
      <c r="W172" s="1081"/>
      <c r="X172" s="1081"/>
      <c r="Y172" s="1081"/>
      <c r="Z172" s="1081"/>
      <c r="AA172" s="1553"/>
      <c r="AB172" s="504"/>
      <c r="AC172" s="504"/>
      <c r="AD172" s="504"/>
      <c r="AE172" s="504"/>
      <c r="AF172" s="1562">
        <v>11</v>
      </c>
    </row>
    <row r="173" spans="1:32" s="4299" customFormat="1" ht="11.45" customHeight="1">
      <c r="A173" s="913"/>
      <c r="B173" s="1557"/>
      <c r="C173" s="1557"/>
      <c r="D173" s="289"/>
      <c r="K173" s="1081"/>
      <c r="L173" s="1557"/>
      <c r="M173" s="1557"/>
      <c r="N173" s="1081"/>
      <c r="O173" s="1081"/>
      <c r="P173" s="1081"/>
      <c r="Q173" s="1081"/>
      <c r="R173" s="1557"/>
      <c r="S173" s="1081"/>
      <c r="T173" s="1081"/>
      <c r="U173" s="482"/>
      <c r="V173" s="1081"/>
      <c r="W173" s="1081"/>
      <c r="X173" s="1081"/>
      <c r="Y173" s="1081"/>
      <c r="Z173" s="1081"/>
      <c r="AA173" s="1553"/>
      <c r="AB173" s="504"/>
      <c r="AC173" s="504"/>
      <c r="AD173" s="504"/>
      <c r="AE173" s="504"/>
      <c r="AF173" s="1562">
        <v>11</v>
      </c>
    </row>
    <row r="174" spans="1:32" s="4299" customFormat="1" ht="11.45" customHeight="1">
      <c r="A174" s="913"/>
      <c r="B174" s="1557"/>
      <c r="C174" s="1557"/>
      <c r="D174" s="289"/>
      <c r="K174" s="1081"/>
      <c r="L174" s="1557"/>
      <c r="M174" s="1557"/>
      <c r="N174" s="1081"/>
      <c r="O174" s="1081"/>
      <c r="P174" s="1081"/>
      <c r="Q174" s="1081"/>
      <c r="R174" s="1557"/>
      <c r="S174" s="1081"/>
      <c r="T174" s="1081"/>
      <c r="U174" s="482"/>
      <c r="V174" s="1081"/>
      <c r="W174" s="1081"/>
      <c r="X174" s="1081"/>
      <c r="Y174" s="1081"/>
      <c r="Z174" s="1081"/>
      <c r="AA174" s="1553"/>
      <c r="AB174" s="504"/>
      <c r="AC174" s="504"/>
      <c r="AD174" s="504"/>
      <c r="AE174" s="504"/>
      <c r="AF174" s="1562">
        <v>11</v>
      </c>
    </row>
    <row r="175" spans="1:32" s="4299" customFormat="1" ht="11.45" customHeight="1">
      <c r="A175" s="913"/>
      <c r="B175" s="1557"/>
      <c r="C175" s="1557"/>
      <c r="D175" s="289"/>
      <c r="K175" s="1081"/>
      <c r="L175" s="1557"/>
      <c r="M175" s="1557"/>
      <c r="N175" s="1081"/>
      <c r="O175" s="1081"/>
      <c r="P175" s="1081"/>
      <c r="Q175" s="1081"/>
      <c r="R175" s="1557"/>
      <c r="S175" s="1081"/>
      <c r="T175" s="1081"/>
      <c r="U175" s="482"/>
      <c r="V175" s="1081"/>
      <c r="W175" s="1081"/>
      <c r="X175" s="1081"/>
      <c r="Y175" s="1081"/>
      <c r="Z175" s="1081"/>
      <c r="AA175" s="1553"/>
      <c r="AB175" s="504"/>
      <c r="AC175" s="504"/>
      <c r="AD175" s="504"/>
      <c r="AE175" s="504"/>
      <c r="AF175" s="1562">
        <v>11</v>
      </c>
    </row>
    <row r="176" spans="1:32" s="4299" customFormat="1" ht="11.45" customHeight="1">
      <c r="A176" s="913"/>
      <c r="B176" s="1557"/>
      <c r="C176" s="1557"/>
      <c r="D176" s="289"/>
      <c r="K176" s="1081"/>
      <c r="L176" s="1557"/>
      <c r="M176" s="1557"/>
      <c r="N176" s="1081"/>
      <c r="O176" s="1081"/>
      <c r="P176" s="1081"/>
      <c r="Q176" s="1081"/>
      <c r="R176" s="1557"/>
      <c r="S176" s="1081"/>
      <c r="T176" s="1081"/>
      <c r="U176" s="482"/>
      <c r="V176" s="1081"/>
      <c r="W176" s="1081"/>
      <c r="X176" s="1081"/>
      <c r="Y176" s="1081"/>
      <c r="Z176" s="1081"/>
      <c r="AA176" s="1553"/>
      <c r="AB176" s="504"/>
      <c r="AC176" s="504"/>
      <c r="AD176" s="504"/>
      <c r="AE176" s="504"/>
      <c r="AF176" s="1562">
        <v>11</v>
      </c>
    </row>
    <row r="177" spans="1:32" s="4299" customFormat="1" ht="11.45" customHeight="1">
      <c r="A177" s="913"/>
      <c r="B177" s="1557"/>
      <c r="C177" s="1557"/>
      <c r="D177" s="289"/>
      <c r="K177" s="1081"/>
      <c r="L177" s="1557"/>
      <c r="M177" s="1557"/>
      <c r="N177" s="1081"/>
      <c r="O177" s="1081"/>
      <c r="P177" s="1081"/>
      <c r="Q177" s="1081"/>
      <c r="R177" s="1557"/>
      <c r="S177" s="1081"/>
      <c r="T177" s="1081"/>
      <c r="U177" s="482"/>
      <c r="V177" s="1081"/>
      <c r="W177" s="1081"/>
      <c r="X177" s="1081"/>
      <c r="Y177" s="1081"/>
      <c r="Z177" s="1081"/>
      <c r="AA177" s="1553"/>
      <c r="AB177" s="504"/>
      <c r="AC177" s="504"/>
      <c r="AD177" s="504"/>
      <c r="AE177" s="504"/>
      <c r="AF177" s="1562">
        <v>11</v>
      </c>
    </row>
    <row r="178" spans="1:32" s="4299" customFormat="1" ht="11.45" customHeight="1">
      <c r="A178" s="913"/>
      <c r="B178" s="1557"/>
      <c r="C178" s="1557"/>
      <c r="D178" s="289"/>
      <c r="K178" s="1081"/>
      <c r="L178" s="1557"/>
      <c r="M178" s="1557"/>
      <c r="N178" s="1081"/>
      <c r="O178" s="1081"/>
      <c r="P178" s="1081"/>
      <c r="Q178" s="1081"/>
      <c r="R178" s="1557"/>
      <c r="S178" s="1081"/>
      <c r="T178" s="1081"/>
      <c r="U178" s="482"/>
      <c r="V178" s="1081"/>
      <c r="W178" s="1081"/>
      <c r="X178" s="1081"/>
      <c r="Y178" s="1081"/>
      <c r="Z178" s="1081"/>
      <c r="AA178" s="1553"/>
      <c r="AB178" s="504"/>
      <c r="AC178" s="504"/>
      <c r="AD178" s="504"/>
      <c r="AE178" s="504"/>
      <c r="AF178" s="1562">
        <v>11</v>
      </c>
    </row>
    <row r="179" spans="1:32" s="4299" customFormat="1" ht="11.45" customHeight="1">
      <c r="A179" s="913"/>
      <c r="B179" s="1557"/>
      <c r="C179" s="1557"/>
      <c r="D179" s="289"/>
      <c r="K179" s="1081"/>
      <c r="L179" s="1557"/>
      <c r="M179" s="1557"/>
      <c r="N179" s="1081"/>
      <c r="O179" s="1081"/>
      <c r="P179" s="1081"/>
      <c r="Q179" s="1081"/>
      <c r="R179" s="1557"/>
      <c r="S179" s="1081"/>
      <c r="T179" s="1081"/>
      <c r="U179" s="482"/>
      <c r="V179" s="1081"/>
      <c r="W179" s="1081"/>
      <c r="X179" s="1081"/>
      <c r="Y179" s="1081"/>
      <c r="Z179" s="1081"/>
      <c r="AA179" s="1553"/>
      <c r="AB179" s="504"/>
      <c r="AC179" s="504"/>
      <c r="AD179" s="504"/>
      <c r="AE179" s="504"/>
      <c r="AF179" s="1562">
        <v>11</v>
      </c>
    </row>
    <row r="180" spans="1:32" s="4299" customFormat="1" ht="11.45" customHeight="1">
      <c r="A180" s="913"/>
      <c r="B180" s="1557"/>
      <c r="C180" s="1557"/>
      <c r="D180" s="289"/>
      <c r="K180" s="1081"/>
      <c r="L180" s="1557"/>
      <c r="M180" s="1557"/>
      <c r="N180" s="1081"/>
      <c r="O180" s="1081"/>
      <c r="P180" s="1081"/>
      <c r="Q180" s="1081"/>
      <c r="R180" s="1557"/>
      <c r="S180" s="1081"/>
      <c r="T180" s="1081"/>
      <c r="U180" s="482"/>
      <c r="V180" s="1081"/>
      <c r="W180" s="1081"/>
      <c r="X180" s="1081"/>
      <c r="Y180" s="1081"/>
      <c r="Z180" s="1081"/>
      <c r="AA180" s="1553"/>
      <c r="AB180" s="504"/>
      <c r="AC180" s="504"/>
      <c r="AD180" s="504"/>
      <c r="AE180" s="504"/>
      <c r="AF180" s="1562">
        <v>11</v>
      </c>
    </row>
    <row r="181" spans="1:32" s="4299" customFormat="1" ht="11.45" customHeight="1">
      <c r="A181" s="913"/>
      <c r="B181" s="1557"/>
      <c r="C181" s="1557"/>
      <c r="D181" s="289"/>
      <c r="K181" s="1081"/>
      <c r="L181" s="1557"/>
      <c r="M181" s="1557"/>
      <c r="N181" s="1081"/>
      <c r="O181" s="1081"/>
      <c r="P181" s="1081"/>
      <c r="Q181" s="1081"/>
      <c r="R181" s="1557"/>
      <c r="S181" s="1081"/>
      <c r="T181" s="1081"/>
      <c r="U181" s="482"/>
      <c r="V181" s="1081"/>
      <c r="W181" s="1081"/>
      <c r="X181" s="1081"/>
      <c r="Y181" s="1081"/>
      <c r="Z181" s="1081"/>
      <c r="AA181" s="1553"/>
      <c r="AB181" s="504"/>
      <c r="AC181" s="504"/>
      <c r="AD181" s="504"/>
      <c r="AE181" s="504"/>
      <c r="AF181" s="1562">
        <v>11</v>
      </c>
    </row>
    <row r="182" spans="1:32" s="4299" customFormat="1" ht="11.45" customHeight="1">
      <c r="A182" s="913"/>
      <c r="B182" s="1557"/>
      <c r="C182" s="1557"/>
      <c r="D182" s="289"/>
      <c r="K182" s="1081"/>
      <c r="L182" s="1557"/>
      <c r="M182" s="1557"/>
      <c r="N182" s="1081"/>
      <c r="O182" s="1081"/>
      <c r="P182" s="1081"/>
      <c r="Q182" s="1081"/>
      <c r="R182" s="1557"/>
      <c r="S182" s="1081"/>
      <c r="T182" s="1081"/>
      <c r="U182" s="482"/>
      <c r="V182" s="1081"/>
      <c r="W182" s="1081"/>
      <c r="X182" s="1081"/>
      <c r="Y182" s="1081"/>
      <c r="Z182" s="1081"/>
      <c r="AA182" s="1553"/>
      <c r="AB182" s="504"/>
      <c r="AC182" s="504"/>
      <c r="AD182" s="504"/>
      <c r="AE182" s="504"/>
      <c r="AF182" s="1562">
        <v>11</v>
      </c>
    </row>
    <row r="183" spans="1:32" s="4299" customFormat="1" ht="11.45" customHeight="1">
      <c r="A183" s="913"/>
      <c r="B183" s="1557"/>
      <c r="C183" s="1557"/>
      <c r="D183" s="289"/>
      <c r="K183" s="1081"/>
      <c r="L183" s="1557"/>
      <c r="M183" s="1557"/>
      <c r="N183" s="1081"/>
      <c r="O183" s="1081"/>
      <c r="P183" s="1081"/>
      <c r="Q183" s="1081"/>
      <c r="R183" s="1557"/>
      <c r="S183" s="1081"/>
      <c r="T183" s="1081"/>
      <c r="U183" s="482"/>
      <c r="V183" s="1081"/>
      <c r="W183" s="1081"/>
      <c r="X183" s="1081"/>
      <c r="Y183" s="1081"/>
      <c r="Z183" s="1081"/>
      <c r="AA183" s="1553"/>
      <c r="AB183" s="504"/>
      <c r="AC183" s="504"/>
      <c r="AD183" s="504"/>
      <c r="AE183" s="504"/>
      <c r="AF183" s="1562">
        <v>11</v>
      </c>
    </row>
    <row r="184" spans="1:32" s="4299" customFormat="1" ht="11.45" customHeight="1">
      <c r="A184" s="913"/>
      <c r="B184" s="1557"/>
      <c r="C184" s="1557"/>
      <c r="D184" s="289"/>
      <c r="K184" s="1081"/>
      <c r="L184" s="1557"/>
      <c r="M184" s="1557"/>
      <c r="N184" s="1081"/>
      <c r="O184" s="1081"/>
      <c r="P184" s="1081"/>
      <c r="Q184" s="1081"/>
      <c r="R184" s="1557"/>
      <c r="S184" s="1081"/>
      <c r="T184" s="1081"/>
      <c r="U184" s="482"/>
      <c r="V184" s="1081"/>
      <c r="W184" s="1081"/>
      <c r="X184" s="1081"/>
      <c r="Y184" s="1081"/>
      <c r="Z184" s="1081"/>
      <c r="AA184" s="1553"/>
      <c r="AB184" s="504"/>
      <c r="AC184" s="504"/>
      <c r="AD184" s="504"/>
      <c r="AE184" s="504"/>
      <c r="AF184" s="1562">
        <v>11</v>
      </c>
    </row>
    <row r="185" spans="1:32" s="4299" customFormat="1" ht="11.45" customHeight="1">
      <c r="A185" s="913"/>
      <c r="B185" s="1557"/>
      <c r="C185" s="1557"/>
      <c r="D185" s="289"/>
      <c r="K185" s="1081"/>
      <c r="L185" s="1557"/>
      <c r="M185" s="1557"/>
      <c r="N185" s="1081"/>
      <c r="O185" s="1081"/>
      <c r="P185" s="1081"/>
      <c r="Q185" s="1081"/>
      <c r="R185" s="1557"/>
      <c r="S185" s="1081"/>
      <c r="T185" s="1081"/>
      <c r="U185" s="482"/>
      <c r="V185" s="1081"/>
      <c r="W185" s="1081"/>
      <c r="X185" s="1081"/>
      <c r="Y185" s="1081"/>
      <c r="Z185" s="1081"/>
      <c r="AA185" s="1553"/>
      <c r="AB185" s="504"/>
      <c r="AC185" s="504"/>
      <c r="AD185" s="504"/>
      <c r="AE185" s="504"/>
      <c r="AF185" s="1562">
        <v>11</v>
      </c>
    </row>
    <row r="186" spans="1:32" s="4299" customFormat="1" ht="11.45" customHeight="1">
      <c r="A186" s="913"/>
      <c r="B186" s="1557"/>
      <c r="C186" s="1557"/>
      <c r="D186" s="289"/>
      <c r="K186" s="1081"/>
      <c r="L186" s="1557"/>
      <c r="M186" s="1557"/>
      <c r="N186" s="1081"/>
      <c r="O186" s="1081"/>
      <c r="P186" s="1081"/>
      <c r="Q186" s="1081"/>
      <c r="R186" s="1557"/>
      <c r="S186" s="1081"/>
      <c r="T186" s="1081"/>
      <c r="U186" s="482"/>
      <c r="V186" s="1081"/>
      <c r="W186" s="1081"/>
      <c r="X186" s="1081"/>
      <c r="Y186" s="1081"/>
      <c r="Z186" s="1081"/>
      <c r="AA186" s="1553"/>
      <c r="AB186" s="504"/>
      <c r="AC186" s="504"/>
      <c r="AD186" s="504"/>
      <c r="AE186" s="504"/>
      <c r="AF186" s="1562">
        <v>11</v>
      </c>
    </row>
    <row r="187" spans="1:32" s="4299" customFormat="1" ht="11.45" customHeight="1">
      <c r="A187" s="913"/>
      <c r="B187" s="1557"/>
      <c r="C187" s="1557"/>
      <c r="D187" s="289"/>
      <c r="K187" s="1081"/>
      <c r="L187" s="1557"/>
      <c r="M187" s="1557"/>
      <c r="N187" s="1081"/>
      <c r="O187" s="1081"/>
      <c r="P187" s="1081"/>
      <c r="Q187" s="1081"/>
      <c r="R187" s="1557"/>
      <c r="S187" s="1081"/>
      <c r="T187" s="1081"/>
      <c r="U187" s="482"/>
      <c r="V187" s="1081"/>
      <c r="W187" s="1081"/>
      <c r="X187" s="1081"/>
      <c r="Y187" s="1081"/>
      <c r="Z187" s="1081"/>
      <c r="AA187" s="1553"/>
      <c r="AB187" s="504"/>
      <c r="AC187" s="504"/>
      <c r="AD187" s="504"/>
      <c r="AE187" s="504"/>
      <c r="AF187" s="1562">
        <v>11</v>
      </c>
    </row>
    <row r="188" spans="1:32" s="4299" customFormat="1" ht="11.45" customHeight="1">
      <c r="A188" s="913"/>
      <c r="B188" s="1557"/>
      <c r="C188" s="1557"/>
      <c r="D188" s="289"/>
      <c r="K188" s="1081"/>
      <c r="L188" s="1557"/>
      <c r="M188" s="1557"/>
      <c r="N188" s="1081"/>
      <c r="O188" s="1081"/>
      <c r="P188" s="1081"/>
      <c r="Q188" s="1081"/>
      <c r="R188" s="1557"/>
      <c r="S188" s="1081"/>
      <c r="T188" s="1081"/>
      <c r="U188" s="482"/>
      <c r="V188" s="1081"/>
      <c r="W188" s="1081"/>
      <c r="X188" s="1081"/>
      <c r="Y188" s="1081"/>
      <c r="Z188" s="1081"/>
      <c r="AA188" s="1553"/>
      <c r="AB188" s="504"/>
      <c r="AC188" s="504"/>
      <c r="AD188" s="504"/>
      <c r="AE188" s="504"/>
      <c r="AF188" s="1562">
        <v>11</v>
      </c>
    </row>
    <row r="189" spans="1:32" s="4299" customFormat="1" ht="11.45" customHeight="1">
      <c r="A189" s="913"/>
      <c r="B189" s="1557"/>
      <c r="C189" s="1557"/>
      <c r="D189" s="289"/>
      <c r="K189" s="1081"/>
      <c r="L189" s="1557"/>
      <c r="M189" s="1557"/>
      <c r="N189" s="1081"/>
      <c r="O189" s="1081"/>
      <c r="P189" s="1081"/>
      <c r="Q189" s="1081"/>
      <c r="R189" s="1557"/>
      <c r="S189" s="1081"/>
      <c r="T189" s="1081"/>
      <c r="U189" s="482"/>
      <c r="V189" s="1081"/>
      <c r="W189" s="1081"/>
      <c r="X189" s="1081"/>
      <c r="Y189" s="1081"/>
      <c r="Z189" s="1081"/>
      <c r="AA189" s="1553"/>
      <c r="AB189" s="504"/>
      <c r="AC189" s="504"/>
      <c r="AD189" s="504"/>
      <c r="AE189" s="504"/>
      <c r="AF189" s="1562">
        <v>11</v>
      </c>
    </row>
    <row r="190" spans="1:32" s="4299" customFormat="1" ht="11.45" customHeight="1">
      <c r="A190" s="913"/>
      <c r="B190" s="1557"/>
      <c r="C190" s="1557"/>
      <c r="D190" s="289"/>
      <c r="K190" s="1081"/>
      <c r="L190" s="1557"/>
      <c r="M190" s="1557"/>
      <c r="N190" s="1081"/>
      <c r="O190" s="1081"/>
      <c r="P190" s="1081"/>
      <c r="Q190" s="1081"/>
      <c r="R190" s="1557"/>
      <c r="S190" s="1081"/>
      <c r="T190" s="1081"/>
      <c r="U190" s="482"/>
      <c r="V190" s="1081"/>
      <c r="W190" s="1081"/>
      <c r="X190" s="1081"/>
      <c r="Y190" s="1081"/>
      <c r="Z190" s="1081"/>
      <c r="AA190" s="1553"/>
      <c r="AB190" s="504"/>
      <c r="AC190" s="504"/>
      <c r="AD190" s="504"/>
      <c r="AE190" s="504"/>
      <c r="AF190" s="1562">
        <v>11</v>
      </c>
    </row>
    <row r="191" spans="1:32" s="4299" customFormat="1" ht="11.45" customHeight="1">
      <c r="A191" s="913"/>
      <c r="B191" s="1557"/>
      <c r="C191" s="1557"/>
      <c r="D191" s="289"/>
      <c r="K191" s="1081"/>
      <c r="L191" s="1557"/>
      <c r="M191" s="1557"/>
      <c r="N191" s="1081"/>
      <c r="O191" s="1081"/>
      <c r="P191" s="1081"/>
      <c r="Q191" s="1081"/>
      <c r="R191" s="1557"/>
      <c r="S191" s="1081"/>
      <c r="T191" s="1081"/>
      <c r="U191" s="482"/>
      <c r="V191" s="1081"/>
      <c r="W191" s="1081"/>
      <c r="X191" s="1081"/>
      <c r="Y191" s="1081"/>
      <c r="Z191" s="1081"/>
      <c r="AA191" s="1553"/>
      <c r="AB191" s="504"/>
      <c r="AC191" s="504"/>
      <c r="AD191" s="504"/>
      <c r="AE191" s="504"/>
      <c r="AF191" s="1562">
        <v>11</v>
      </c>
    </row>
    <row r="192" spans="1:32" s="4299" customFormat="1" ht="11.45" customHeight="1">
      <c r="A192" s="913"/>
      <c r="B192" s="1557"/>
      <c r="C192" s="1557"/>
      <c r="D192" s="289"/>
      <c r="K192" s="1081"/>
      <c r="L192" s="1557"/>
      <c r="M192" s="1557"/>
      <c r="N192" s="1081"/>
      <c r="O192" s="1081"/>
      <c r="P192" s="1081"/>
      <c r="Q192" s="1081"/>
      <c r="R192" s="1557"/>
      <c r="S192" s="1081"/>
      <c r="T192" s="1081"/>
      <c r="U192" s="482"/>
      <c r="V192" s="1081"/>
      <c r="W192" s="1081"/>
      <c r="X192" s="1081"/>
      <c r="Y192" s="1081"/>
      <c r="Z192" s="1081"/>
      <c r="AA192" s="1553"/>
      <c r="AB192" s="504"/>
      <c r="AC192" s="504"/>
      <c r="AD192" s="504"/>
      <c r="AE192" s="504"/>
      <c r="AF192" s="1562">
        <v>11</v>
      </c>
    </row>
    <row r="193" spans="1:32" s="4299" customFormat="1" ht="11.45" customHeight="1">
      <c r="A193" s="913"/>
      <c r="B193" s="1557"/>
      <c r="C193" s="1557"/>
      <c r="D193" s="289"/>
      <c r="K193" s="1081"/>
      <c r="L193" s="1557"/>
      <c r="M193" s="1557"/>
      <c r="N193" s="1081"/>
      <c r="O193" s="1081"/>
      <c r="P193" s="1081"/>
      <c r="Q193" s="1081"/>
      <c r="R193" s="1557"/>
      <c r="S193" s="1081"/>
      <c r="T193" s="1081"/>
      <c r="U193" s="482"/>
      <c r="V193" s="1081"/>
      <c r="W193" s="1081"/>
      <c r="X193" s="1081"/>
      <c r="Y193" s="1081"/>
      <c r="Z193" s="1081"/>
      <c r="AA193" s="1553"/>
      <c r="AB193" s="504"/>
      <c r="AC193" s="504"/>
      <c r="AD193" s="504"/>
      <c r="AE193" s="504"/>
      <c r="AF193" s="1562">
        <v>11</v>
      </c>
    </row>
    <row r="194" spans="1:32" s="4299" customFormat="1" ht="11.45" customHeight="1">
      <c r="A194" s="913"/>
      <c r="B194" s="1557"/>
      <c r="C194" s="1557"/>
      <c r="D194" s="289"/>
      <c r="K194" s="1081"/>
      <c r="L194" s="1557"/>
      <c r="M194" s="1557"/>
      <c r="N194" s="1081"/>
      <c r="O194" s="1081"/>
      <c r="P194" s="1081"/>
      <c r="Q194" s="1081"/>
      <c r="R194" s="1557"/>
      <c r="S194" s="1081"/>
      <c r="T194" s="1081"/>
      <c r="U194" s="482"/>
      <c r="V194" s="1081"/>
      <c r="W194" s="1081"/>
      <c r="X194" s="1081"/>
      <c r="Y194" s="1081"/>
      <c r="Z194" s="1081"/>
      <c r="AA194" s="1553"/>
      <c r="AB194" s="504"/>
      <c r="AC194" s="504"/>
      <c r="AD194" s="504"/>
      <c r="AE194" s="504"/>
      <c r="AF194" s="1562">
        <v>11</v>
      </c>
    </row>
    <row r="195" spans="1:32" s="4299" customFormat="1" ht="11.45" customHeight="1">
      <c r="A195" s="913"/>
      <c r="B195" s="1557"/>
      <c r="C195" s="1557"/>
      <c r="D195" s="289"/>
      <c r="K195" s="1081"/>
      <c r="L195" s="1557"/>
      <c r="M195" s="1557"/>
      <c r="N195" s="1081"/>
      <c r="O195" s="1081"/>
      <c r="P195" s="1081"/>
      <c r="Q195" s="1081"/>
      <c r="R195" s="1557"/>
      <c r="S195" s="1081"/>
      <c r="T195" s="1081"/>
      <c r="U195" s="482"/>
      <c r="V195" s="1081"/>
      <c r="W195" s="1081"/>
      <c r="X195" s="1081"/>
      <c r="Y195" s="1081"/>
      <c r="Z195" s="1081"/>
      <c r="AA195" s="1553"/>
      <c r="AB195" s="504"/>
      <c r="AC195" s="504"/>
      <c r="AD195" s="504"/>
      <c r="AE195" s="504"/>
      <c r="AF195" s="1562">
        <v>11</v>
      </c>
    </row>
    <row r="196" spans="1:32" s="4299" customFormat="1" ht="11.45" customHeight="1">
      <c r="A196" s="913"/>
      <c r="B196" s="1557"/>
      <c r="C196" s="1557"/>
      <c r="D196" s="289"/>
      <c r="K196" s="1081"/>
      <c r="L196" s="1557"/>
      <c r="M196" s="1557"/>
      <c r="N196" s="1081"/>
      <c r="O196" s="1081"/>
      <c r="P196" s="1081"/>
      <c r="Q196" s="1081"/>
      <c r="R196" s="1557"/>
      <c r="S196" s="1081"/>
      <c r="T196" s="1081"/>
      <c r="U196" s="482"/>
      <c r="V196" s="1081"/>
      <c r="W196" s="1081"/>
      <c r="X196" s="1081"/>
      <c r="Y196" s="1081"/>
      <c r="Z196" s="1081"/>
      <c r="AA196" s="1553"/>
      <c r="AB196" s="504"/>
      <c r="AC196" s="504"/>
      <c r="AD196" s="504"/>
      <c r="AE196" s="504"/>
      <c r="AF196" s="1562">
        <v>11</v>
      </c>
    </row>
    <row r="197" spans="1:32" s="4299" customFormat="1" ht="11.45" customHeight="1">
      <c r="A197" s="913"/>
      <c r="B197" s="1557"/>
      <c r="C197" s="1557"/>
      <c r="D197" s="289"/>
      <c r="K197" s="1081"/>
      <c r="L197" s="1557"/>
      <c r="M197" s="1557"/>
      <c r="N197" s="1081"/>
      <c r="O197" s="1081"/>
      <c r="P197" s="1081"/>
      <c r="Q197" s="1081"/>
      <c r="R197" s="1557"/>
      <c r="S197" s="1081"/>
      <c r="T197" s="1081"/>
      <c r="U197" s="482"/>
      <c r="V197" s="1081"/>
      <c r="W197" s="1081"/>
      <c r="X197" s="1081"/>
      <c r="Y197" s="1081"/>
      <c r="Z197" s="1081"/>
      <c r="AA197" s="1553"/>
      <c r="AB197" s="504"/>
      <c r="AC197" s="504"/>
      <c r="AD197" s="504"/>
      <c r="AE197" s="504"/>
      <c r="AF197" s="1562">
        <v>11</v>
      </c>
    </row>
    <row r="198" spans="1:32" s="4299" customFormat="1" ht="11.45" customHeight="1">
      <c r="A198" s="913"/>
      <c r="B198" s="1557"/>
      <c r="C198" s="1557"/>
      <c r="D198" s="289"/>
      <c r="K198" s="1081"/>
      <c r="L198" s="1557"/>
      <c r="M198" s="1557"/>
      <c r="N198" s="1081"/>
      <c r="O198" s="1081"/>
      <c r="P198" s="1081"/>
      <c r="Q198" s="1081"/>
      <c r="R198" s="1557"/>
      <c r="S198" s="1081"/>
      <c r="T198" s="1081"/>
      <c r="U198" s="482"/>
      <c r="V198" s="1081"/>
      <c r="W198" s="1081"/>
      <c r="X198" s="1081"/>
      <c r="Y198" s="1081"/>
      <c r="Z198" s="1081"/>
      <c r="AA198" s="1553"/>
      <c r="AB198" s="504"/>
      <c r="AC198" s="504"/>
      <c r="AD198" s="504"/>
      <c r="AE198" s="504"/>
      <c r="AF198" s="1562">
        <v>11</v>
      </c>
    </row>
    <row r="199" spans="1:32" s="4299" customFormat="1" ht="11.45" customHeight="1">
      <c r="A199" s="913"/>
      <c r="B199" s="1557"/>
      <c r="C199" s="1557"/>
      <c r="D199" s="289"/>
      <c r="K199" s="1081"/>
      <c r="L199" s="1557"/>
      <c r="M199" s="1557"/>
      <c r="N199" s="1081"/>
      <c r="O199" s="1081"/>
      <c r="P199" s="1081"/>
      <c r="Q199" s="1081"/>
      <c r="R199" s="1557"/>
      <c r="S199" s="1081"/>
      <c r="T199" s="1081"/>
      <c r="U199" s="482"/>
      <c r="V199" s="1081"/>
      <c r="W199" s="1081"/>
      <c r="X199" s="1081"/>
      <c r="Y199" s="1081"/>
      <c r="Z199" s="1081"/>
      <c r="AA199" s="1553"/>
      <c r="AB199" s="504"/>
      <c r="AC199" s="504"/>
      <c r="AD199" s="504"/>
      <c r="AE199" s="504"/>
      <c r="AF199" s="1562">
        <v>11</v>
      </c>
    </row>
    <row r="200" spans="1:32" s="4299" customFormat="1" ht="11.45" customHeight="1">
      <c r="A200" s="913"/>
      <c r="B200" s="1557"/>
      <c r="C200" s="1557"/>
      <c r="D200" s="289"/>
      <c r="K200" s="1081"/>
      <c r="L200" s="1557"/>
      <c r="M200" s="1557"/>
      <c r="N200" s="1081"/>
      <c r="O200" s="1081"/>
      <c r="P200" s="1081"/>
      <c r="Q200" s="1081"/>
      <c r="R200" s="1557"/>
      <c r="S200" s="1081"/>
      <c r="T200" s="1081"/>
      <c r="U200" s="482"/>
      <c r="V200" s="1081"/>
      <c r="W200" s="1081"/>
      <c r="X200" s="1081"/>
      <c r="Y200" s="1081"/>
      <c r="Z200" s="1081"/>
      <c r="AA200" s="1553"/>
      <c r="AB200" s="504"/>
      <c r="AC200" s="504"/>
      <c r="AD200" s="504"/>
      <c r="AE200" s="504"/>
      <c r="AF200" s="1562">
        <v>11</v>
      </c>
    </row>
    <row r="201" spans="1:32" s="4299" customFormat="1" ht="11.45" customHeight="1">
      <c r="A201" s="913"/>
      <c r="B201" s="1557"/>
      <c r="C201" s="1557"/>
      <c r="D201" s="289"/>
      <c r="K201" s="1081"/>
      <c r="L201" s="1557"/>
      <c r="M201" s="1557"/>
      <c r="N201" s="1081"/>
      <c r="O201" s="1081"/>
      <c r="P201" s="1081"/>
      <c r="Q201" s="1081"/>
      <c r="R201" s="1557"/>
      <c r="S201" s="1081"/>
      <c r="T201" s="1081"/>
      <c r="U201" s="482"/>
      <c r="V201" s="1081"/>
      <c r="W201" s="1081"/>
      <c r="X201" s="1081"/>
      <c r="Y201" s="1081"/>
      <c r="Z201" s="1081"/>
      <c r="AA201" s="1553"/>
      <c r="AB201" s="504"/>
      <c r="AC201" s="504"/>
      <c r="AD201" s="504"/>
      <c r="AE201" s="504"/>
      <c r="AF201" s="1562">
        <v>11</v>
      </c>
    </row>
    <row r="202" spans="1:32" s="4299" customFormat="1" ht="11.45" customHeight="1">
      <c r="A202" s="913"/>
      <c r="B202" s="1557"/>
      <c r="C202" s="1557"/>
      <c r="D202" s="289"/>
      <c r="K202" s="1081"/>
      <c r="L202" s="1557"/>
      <c r="M202" s="1557"/>
      <c r="N202" s="1081"/>
      <c r="O202" s="1081"/>
      <c r="P202" s="1081"/>
      <c r="Q202" s="1081"/>
      <c r="R202" s="1557"/>
      <c r="S202" s="1081"/>
      <c r="T202" s="1081"/>
      <c r="U202" s="482"/>
      <c r="V202" s="1081"/>
      <c r="W202" s="1081"/>
      <c r="X202" s="1081"/>
      <c r="Y202" s="1081"/>
      <c r="Z202" s="1081"/>
      <c r="AA202" s="1553"/>
      <c r="AB202" s="504"/>
      <c r="AC202" s="504"/>
      <c r="AD202" s="504"/>
      <c r="AE202" s="504"/>
      <c r="AF202" s="1562">
        <v>11</v>
      </c>
    </row>
    <row r="203" spans="1:32" s="4299" customFormat="1" ht="11.45" customHeight="1">
      <c r="A203" s="913"/>
      <c r="B203" s="1557"/>
      <c r="C203" s="1557"/>
      <c r="D203" s="289"/>
      <c r="K203" s="1081"/>
      <c r="L203" s="1557"/>
      <c r="M203" s="1557"/>
      <c r="N203" s="1081"/>
      <c r="O203" s="1081"/>
      <c r="P203" s="1081"/>
      <c r="Q203" s="1081"/>
      <c r="R203" s="1557"/>
      <c r="S203" s="1081"/>
      <c r="T203" s="1081"/>
      <c r="U203" s="482"/>
      <c r="V203" s="1081"/>
      <c r="W203" s="1081"/>
      <c r="X203" s="1081"/>
      <c r="Y203" s="1081"/>
      <c r="Z203" s="1081"/>
      <c r="AA203" s="1553"/>
      <c r="AB203" s="504"/>
      <c r="AC203" s="504"/>
      <c r="AD203" s="504"/>
      <c r="AE203" s="504"/>
      <c r="AF203" s="1562">
        <v>11</v>
      </c>
    </row>
    <row r="204" spans="1:32" s="4299" customFormat="1" ht="11.45" customHeight="1">
      <c r="A204" s="913"/>
      <c r="B204" s="1557"/>
      <c r="C204" s="1557"/>
      <c r="D204" s="289"/>
      <c r="K204" s="1081"/>
      <c r="L204" s="1557"/>
      <c r="M204" s="1557"/>
      <c r="N204" s="1081"/>
      <c r="O204" s="1081"/>
      <c r="P204" s="1081"/>
      <c r="Q204" s="1081"/>
      <c r="R204" s="1557"/>
      <c r="S204" s="1081"/>
      <c r="T204" s="1081"/>
      <c r="U204" s="482"/>
      <c r="V204" s="1081"/>
      <c r="W204" s="1081"/>
      <c r="X204" s="1081"/>
      <c r="Y204" s="1081"/>
      <c r="Z204" s="1081"/>
      <c r="AA204" s="1553"/>
      <c r="AB204" s="504"/>
      <c r="AC204" s="504"/>
      <c r="AD204" s="504"/>
      <c r="AE204" s="504"/>
      <c r="AF204" s="1562">
        <v>11</v>
      </c>
    </row>
    <row r="205" spans="1:32" s="4299" customFormat="1" ht="11.45" customHeight="1">
      <c r="A205" s="913"/>
      <c r="B205" s="1557"/>
      <c r="C205" s="1557"/>
      <c r="D205" s="289"/>
      <c r="K205" s="1081"/>
      <c r="L205" s="1557"/>
      <c r="M205" s="1557"/>
      <c r="N205" s="1081"/>
      <c r="O205" s="1081"/>
      <c r="P205" s="1081"/>
      <c r="Q205" s="1081"/>
      <c r="R205" s="1557"/>
      <c r="S205" s="1081"/>
      <c r="T205" s="1081"/>
      <c r="U205" s="482"/>
      <c r="V205" s="1081"/>
      <c r="W205" s="1081"/>
      <c r="X205" s="1081"/>
      <c r="Y205" s="1081"/>
      <c r="Z205" s="1081"/>
      <c r="AA205" s="1553"/>
      <c r="AB205" s="504"/>
      <c r="AC205" s="504"/>
      <c r="AD205" s="504"/>
      <c r="AE205" s="504"/>
      <c r="AF205" s="1562">
        <v>11</v>
      </c>
    </row>
    <row r="206" spans="1:32" s="4299" customFormat="1" ht="11.45" customHeight="1">
      <c r="A206" s="913"/>
      <c r="B206" s="1557"/>
      <c r="C206" s="1557"/>
      <c r="D206" s="289"/>
      <c r="K206" s="1081"/>
      <c r="L206" s="1557"/>
      <c r="M206" s="1557"/>
      <c r="N206" s="1081"/>
      <c r="O206" s="1081"/>
      <c r="P206" s="1081"/>
      <c r="Q206" s="1081"/>
      <c r="R206" s="1557"/>
      <c r="S206" s="1081"/>
      <c r="T206" s="1081"/>
      <c r="U206" s="482"/>
      <c r="V206" s="1081"/>
      <c r="W206" s="1081"/>
      <c r="X206" s="1081"/>
      <c r="Y206" s="1081"/>
      <c r="Z206" s="1081"/>
      <c r="AA206" s="1553"/>
      <c r="AB206" s="504"/>
      <c r="AC206" s="504"/>
      <c r="AD206" s="504"/>
      <c r="AE206" s="504"/>
      <c r="AF206" s="1562">
        <v>11</v>
      </c>
    </row>
    <row r="207" spans="1:32" s="4299" customFormat="1" ht="11.45" customHeight="1">
      <c r="A207" s="913"/>
      <c r="B207" s="1557"/>
      <c r="C207" s="1557"/>
      <c r="D207" s="289"/>
      <c r="K207" s="1081"/>
      <c r="L207" s="1557"/>
      <c r="M207" s="1557"/>
      <c r="N207" s="1081"/>
      <c r="O207" s="1081"/>
      <c r="P207" s="1081"/>
      <c r="Q207" s="1081"/>
      <c r="R207" s="1557"/>
      <c r="S207" s="1081"/>
      <c r="T207" s="1081"/>
      <c r="U207" s="482"/>
      <c r="V207" s="1081"/>
      <c r="W207" s="1081"/>
      <c r="X207" s="1081"/>
      <c r="Y207" s="1081"/>
      <c r="Z207" s="1081"/>
      <c r="AA207" s="1553"/>
      <c r="AB207" s="504"/>
      <c r="AC207" s="504"/>
      <c r="AD207" s="504"/>
      <c r="AE207" s="504"/>
      <c r="AF207" s="1562">
        <v>11</v>
      </c>
    </row>
    <row r="208" spans="1:32" s="4299" customFormat="1" ht="11.45" customHeight="1">
      <c r="A208" s="913"/>
      <c r="B208" s="1557"/>
      <c r="C208" s="1557"/>
      <c r="D208" s="289"/>
      <c r="K208" s="1081"/>
      <c r="L208" s="1557"/>
      <c r="M208" s="1557"/>
      <c r="N208" s="1081"/>
      <c r="O208" s="1081"/>
      <c r="P208" s="1081"/>
      <c r="Q208" s="1081"/>
      <c r="R208" s="1557"/>
      <c r="S208" s="1081"/>
      <c r="T208" s="1081"/>
      <c r="U208" s="482"/>
      <c r="V208" s="1081"/>
      <c r="W208" s="1081"/>
      <c r="X208" s="1081"/>
      <c r="Y208" s="1081"/>
      <c r="Z208" s="1081"/>
      <c r="AA208" s="1553"/>
      <c r="AB208" s="504"/>
      <c r="AC208" s="504"/>
      <c r="AD208" s="504"/>
      <c r="AE208" s="504"/>
      <c r="AF208" s="1562">
        <v>11</v>
      </c>
    </row>
    <row r="209" spans="1:32" s="4299" customFormat="1" ht="11.45" customHeight="1">
      <c r="A209" s="913"/>
      <c r="B209" s="1557"/>
      <c r="C209" s="1557"/>
      <c r="D209" s="289"/>
      <c r="K209" s="1081"/>
      <c r="L209" s="1557"/>
      <c r="M209" s="1557"/>
      <c r="N209" s="1081"/>
      <c r="O209" s="1081"/>
      <c r="P209" s="1081"/>
      <c r="Q209" s="1081"/>
      <c r="R209" s="1557"/>
      <c r="S209" s="1081"/>
      <c r="T209" s="1081"/>
      <c r="U209" s="482"/>
      <c r="V209" s="1081"/>
      <c r="W209" s="1081"/>
      <c r="X209" s="1081"/>
      <c r="Y209" s="1081"/>
      <c r="Z209" s="1081"/>
      <c r="AA209" s="1553"/>
      <c r="AB209" s="504"/>
      <c r="AC209" s="504"/>
      <c r="AD209" s="504"/>
      <c r="AE209" s="504"/>
      <c r="AF209" s="1562">
        <v>11</v>
      </c>
    </row>
    <row r="210" spans="1:32" s="4299" customFormat="1" ht="11.45" customHeight="1">
      <c r="A210" s="913"/>
      <c r="B210" s="1557"/>
      <c r="C210" s="1557"/>
      <c r="D210" s="289"/>
      <c r="K210" s="1081"/>
      <c r="L210" s="1557"/>
      <c r="M210" s="1557"/>
      <c r="N210" s="1081"/>
      <c r="O210" s="1081"/>
      <c r="P210" s="1081"/>
      <c r="Q210" s="1081"/>
      <c r="R210" s="1557"/>
      <c r="S210" s="1081"/>
      <c r="T210" s="1081"/>
      <c r="U210" s="482"/>
      <c r="V210" s="1081"/>
      <c r="W210" s="1081"/>
      <c r="X210" s="1081"/>
      <c r="Y210" s="1081"/>
      <c r="Z210" s="1081"/>
      <c r="AA210" s="1553"/>
      <c r="AB210" s="504"/>
      <c r="AC210" s="504"/>
      <c r="AD210" s="504"/>
      <c r="AE210" s="504"/>
      <c r="AF210" s="1562">
        <v>11</v>
      </c>
    </row>
    <row r="211" spans="1:32" s="4299" customFormat="1" ht="11.45" customHeight="1">
      <c r="A211" s="913"/>
      <c r="B211" s="1557"/>
      <c r="C211" s="1557"/>
      <c r="D211" s="289"/>
      <c r="K211" s="1081"/>
      <c r="L211" s="1557"/>
      <c r="M211" s="1557"/>
      <c r="N211" s="1081"/>
      <c r="O211" s="1081"/>
      <c r="P211" s="1081"/>
      <c r="Q211" s="1081"/>
      <c r="R211" s="1557"/>
      <c r="S211" s="1081"/>
      <c r="T211" s="1081"/>
      <c r="U211" s="482"/>
      <c r="V211" s="1081"/>
      <c r="W211" s="1081"/>
      <c r="X211" s="1081"/>
      <c r="Y211" s="1081"/>
      <c r="Z211" s="1081"/>
      <c r="AA211" s="1553"/>
      <c r="AB211" s="504"/>
      <c r="AC211" s="504"/>
      <c r="AD211" s="504"/>
      <c r="AE211" s="504"/>
      <c r="AF211" s="1562">
        <v>11</v>
      </c>
    </row>
    <row r="212" spans="1:32" s="4299" customFormat="1" ht="11.45" customHeight="1">
      <c r="A212" s="913"/>
      <c r="B212" s="1557"/>
      <c r="C212" s="1557"/>
      <c r="D212" s="289"/>
      <c r="K212" s="1081"/>
      <c r="L212" s="1557"/>
      <c r="M212" s="1557"/>
      <c r="N212" s="1081"/>
      <c r="O212" s="1081"/>
      <c r="P212" s="1081"/>
      <c r="Q212" s="1081"/>
      <c r="R212" s="1557"/>
      <c r="S212" s="1081"/>
      <c r="T212" s="1081"/>
      <c r="U212" s="482"/>
      <c r="V212" s="1081"/>
      <c r="W212" s="1081"/>
      <c r="X212" s="1081"/>
      <c r="Y212" s="1081"/>
      <c r="Z212" s="1081"/>
      <c r="AA212" s="1553"/>
      <c r="AB212" s="504"/>
      <c r="AC212" s="504"/>
      <c r="AD212" s="504"/>
      <c r="AE212" s="504"/>
      <c r="AF212" s="1562">
        <v>11</v>
      </c>
    </row>
    <row r="213" spans="1:32" s="4299" customFormat="1" ht="11.45" customHeight="1">
      <c r="A213" s="913"/>
      <c r="B213" s="1557"/>
      <c r="C213" s="1557"/>
      <c r="D213" s="289"/>
      <c r="K213" s="1081"/>
      <c r="L213" s="1557"/>
      <c r="M213" s="1557"/>
      <c r="N213" s="1081"/>
      <c r="O213" s="1081"/>
      <c r="P213" s="1081"/>
      <c r="Q213" s="1081"/>
      <c r="R213" s="1557"/>
      <c r="S213" s="1081"/>
      <c r="T213" s="1081"/>
      <c r="U213" s="482"/>
      <c r="V213" s="1081"/>
      <c r="W213" s="1081"/>
      <c r="X213" s="1081"/>
      <c r="Y213" s="1081"/>
      <c r="Z213" s="1081"/>
      <c r="AA213" s="1553"/>
      <c r="AB213" s="504"/>
      <c r="AC213" s="504"/>
      <c r="AD213" s="504"/>
      <c r="AE213" s="504"/>
      <c r="AF213" s="1562">
        <v>11</v>
      </c>
    </row>
    <row r="214" spans="1:32" s="4299" customFormat="1" ht="11.45" customHeight="1">
      <c r="A214" s="913"/>
      <c r="B214" s="1557"/>
      <c r="C214" s="1557"/>
      <c r="D214" s="289"/>
      <c r="K214" s="1081"/>
      <c r="L214" s="1557"/>
      <c r="M214" s="1557"/>
      <c r="N214" s="1081"/>
      <c r="O214" s="1081"/>
      <c r="P214" s="1081"/>
      <c r="Q214" s="1081"/>
      <c r="R214" s="1557"/>
      <c r="S214" s="1081"/>
      <c r="T214" s="1081"/>
      <c r="U214" s="482"/>
      <c r="V214" s="1081"/>
      <c r="W214" s="1081"/>
      <c r="X214" s="1081"/>
      <c r="Y214" s="1081"/>
      <c r="Z214" s="1081"/>
      <c r="AA214" s="1553"/>
      <c r="AB214" s="504"/>
      <c r="AC214" s="504"/>
      <c r="AD214" s="504"/>
      <c r="AE214" s="504"/>
      <c r="AF214" s="1562">
        <v>11</v>
      </c>
    </row>
    <row r="215" spans="1:32" s="4299" customFormat="1" ht="11.45" customHeight="1">
      <c r="A215" s="913"/>
      <c r="B215" s="1557"/>
      <c r="C215" s="1557"/>
      <c r="D215" s="289"/>
      <c r="K215" s="1081"/>
      <c r="L215" s="1557"/>
      <c r="M215" s="1557"/>
      <c r="N215" s="1081"/>
      <c r="O215" s="1081"/>
      <c r="P215" s="1081"/>
      <c r="Q215" s="1081"/>
      <c r="R215" s="1557"/>
      <c r="S215" s="1081"/>
      <c r="T215" s="1081"/>
      <c r="U215" s="482"/>
      <c r="V215" s="1081"/>
      <c r="W215" s="1081"/>
      <c r="X215" s="1081"/>
      <c r="Y215" s="1081"/>
      <c r="Z215" s="1081"/>
      <c r="AA215" s="1553"/>
      <c r="AB215" s="504"/>
      <c r="AC215" s="504"/>
      <c r="AD215" s="504"/>
      <c r="AE215" s="504"/>
      <c r="AF215" s="1562">
        <v>11</v>
      </c>
    </row>
    <row r="216" spans="1:32" s="4299" customFormat="1" ht="11.45" customHeight="1">
      <c r="A216" s="913"/>
      <c r="B216" s="1557"/>
      <c r="C216" s="1557"/>
      <c r="D216" s="289"/>
      <c r="K216" s="1081"/>
      <c r="L216" s="1557"/>
      <c r="M216" s="1557"/>
      <c r="N216" s="1081"/>
      <c r="O216" s="1081"/>
      <c r="P216" s="1081"/>
      <c r="Q216" s="1081"/>
      <c r="R216" s="1557"/>
      <c r="S216" s="1081"/>
      <c r="T216" s="1081"/>
      <c r="U216" s="482"/>
      <c r="V216" s="1081"/>
      <c r="W216" s="1081"/>
      <c r="X216" s="1081"/>
      <c r="Y216" s="1081"/>
      <c r="Z216" s="1081"/>
      <c r="AA216" s="1553"/>
      <c r="AB216" s="504"/>
      <c r="AC216" s="504"/>
      <c r="AD216" s="504"/>
      <c r="AE216" s="504"/>
      <c r="AF216" s="1562">
        <v>11</v>
      </c>
    </row>
    <row r="217" spans="1:32" s="4299" customFormat="1" ht="11.45" customHeight="1">
      <c r="A217" s="913"/>
      <c r="B217" s="1557"/>
      <c r="C217" s="1557"/>
      <c r="D217" s="289"/>
      <c r="K217" s="1081"/>
      <c r="L217" s="1557"/>
      <c r="M217" s="1557"/>
      <c r="N217" s="1081"/>
      <c r="O217" s="1081"/>
      <c r="P217" s="1081"/>
      <c r="Q217" s="1081"/>
      <c r="R217" s="1557"/>
      <c r="S217" s="1081"/>
      <c r="T217" s="1081"/>
      <c r="U217" s="482"/>
      <c r="V217" s="1081"/>
      <c r="W217" s="1081"/>
      <c r="X217" s="1081"/>
      <c r="Y217" s="1081"/>
      <c r="Z217" s="1081"/>
      <c r="AA217" s="1553"/>
      <c r="AB217" s="504"/>
      <c r="AC217" s="504"/>
      <c r="AD217" s="504"/>
      <c r="AE217" s="504"/>
      <c r="AF217" s="1562">
        <v>11</v>
      </c>
    </row>
    <row r="218" spans="1:32" s="4299" customFormat="1" ht="11.45" customHeight="1">
      <c r="A218" s="913"/>
      <c r="B218" s="1557"/>
      <c r="C218" s="1557"/>
      <c r="D218" s="289"/>
      <c r="K218" s="1081"/>
      <c r="L218" s="1557"/>
      <c r="M218" s="1557"/>
      <c r="N218" s="1081"/>
      <c r="O218" s="1081"/>
      <c r="P218" s="1081"/>
      <c r="Q218" s="1081"/>
      <c r="R218" s="1557"/>
      <c r="S218" s="1081"/>
      <c r="T218" s="1081"/>
      <c r="U218" s="482"/>
      <c r="V218" s="1081"/>
      <c r="W218" s="1081"/>
      <c r="X218" s="1081"/>
      <c r="Y218" s="1081"/>
      <c r="Z218" s="1081"/>
      <c r="AA218" s="1553"/>
      <c r="AB218" s="504"/>
      <c r="AC218" s="504"/>
      <c r="AD218" s="504"/>
      <c r="AE218" s="504"/>
      <c r="AF218" s="1562">
        <v>11</v>
      </c>
    </row>
    <row r="219" spans="1:32" s="4299" customFormat="1" ht="11.45" customHeight="1">
      <c r="A219" s="913"/>
      <c r="B219" s="1557"/>
      <c r="C219" s="1557"/>
      <c r="D219" s="289"/>
      <c r="K219" s="1081"/>
      <c r="L219" s="1557"/>
      <c r="M219" s="1557"/>
      <c r="N219" s="1081"/>
      <c r="O219" s="1081"/>
      <c r="P219" s="1081"/>
      <c r="Q219" s="1081"/>
      <c r="R219" s="1557"/>
      <c r="S219" s="1081"/>
      <c r="T219" s="1081"/>
      <c r="U219" s="482"/>
      <c r="V219" s="1081"/>
      <c r="W219" s="1081"/>
      <c r="X219" s="1081"/>
      <c r="Y219" s="1081"/>
      <c r="Z219" s="1081"/>
      <c r="AA219" s="1553"/>
      <c r="AB219" s="504"/>
      <c r="AC219" s="504"/>
      <c r="AD219" s="504"/>
      <c r="AE219" s="504"/>
      <c r="AF219" s="1562">
        <v>11</v>
      </c>
    </row>
    <row r="220" spans="1:32" s="4299" customFormat="1" ht="11.45" customHeight="1">
      <c r="A220" s="913"/>
      <c r="B220" s="1557"/>
      <c r="C220" s="1557"/>
      <c r="D220" s="289"/>
      <c r="K220" s="1081"/>
      <c r="L220" s="1557"/>
      <c r="M220" s="1557"/>
      <c r="N220" s="1081"/>
      <c r="O220" s="1081"/>
      <c r="P220" s="1081"/>
      <c r="Q220" s="1081"/>
      <c r="R220" s="1557"/>
      <c r="S220" s="1081"/>
      <c r="T220" s="1081"/>
      <c r="U220" s="482"/>
      <c r="V220" s="1081"/>
      <c r="W220" s="1081"/>
      <c r="X220" s="1081"/>
      <c r="Y220" s="1081"/>
      <c r="Z220" s="1081"/>
      <c r="AA220" s="1553"/>
      <c r="AB220" s="504"/>
      <c r="AC220" s="504"/>
      <c r="AD220" s="504"/>
      <c r="AE220" s="504"/>
      <c r="AF220" s="1562">
        <v>11</v>
      </c>
    </row>
    <row r="221" spans="1:32" s="4299" customFormat="1" ht="11.45" customHeight="1">
      <c r="A221" s="913"/>
      <c r="B221" s="1557"/>
      <c r="C221" s="1557"/>
      <c r="D221" s="289"/>
      <c r="K221" s="1081"/>
      <c r="L221" s="1557"/>
      <c r="M221" s="1557"/>
      <c r="N221" s="1081"/>
      <c r="O221" s="1081"/>
      <c r="P221" s="1081"/>
      <c r="Q221" s="1081"/>
      <c r="R221" s="1557"/>
      <c r="S221" s="1081"/>
      <c r="T221" s="1081"/>
      <c r="U221" s="482"/>
      <c r="V221" s="1081"/>
      <c r="W221" s="1081"/>
      <c r="X221" s="1081"/>
      <c r="Y221" s="1081"/>
      <c r="Z221" s="1081"/>
      <c r="AA221" s="1553"/>
      <c r="AB221" s="504"/>
      <c r="AC221" s="504"/>
      <c r="AD221" s="504"/>
      <c r="AE221" s="504"/>
      <c r="AF221" s="1562">
        <v>11</v>
      </c>
    </row>
    <row r="222" spans="1:32" s="4299" customFormat="1" ht="11.45" customHeight="1">
      <c r="A222" s="913"/>
      <c r="B222" s="1557"/>
      <c r="C222" s="1557"/>
      <c r="D222" s="289"/>
      <c r="K222" s="1081"/>
      <c r="L222" s="1557"/>
      <c r="M222" s="1557"/>
      <c r="N222" s="1081"/>
      <c r="O222" s="1081"/>
      <c r="P222" s="1081"/>
      <c r="Q222" s="1081"/>
      <c r="R222" s="1557"/>
      <c r="S222" s="1081"/>
      <c r="T222" s="1081"/>
      <c r="U222" s="482"/>
      <c r="V222" s="1081"/>
      <c r="W222" s="1081"/>
      <c r="X222" s="1081"/>
      <c r="Y222" s="1081"/>
      <c r="Z222" s="1081"/>
      <c r="AA222" s="1553"/>
      <c r="AB222" s="504"/>
      <c r="AC222" s="504"/>
      <c r="AD222" s="504"/>
      <c r="AE222" s="504"/>
      <c r="AF222" s="1562">
        <v>11</v>
      </c>
    </row>
    <row r="223" spans="1:32" s="4299" customFormat="1" ht="11.45" customHeight="1">
      <c r="A223" s="913"/>
      <c r="B223" s="1557"/>
      <c r="C223" s="1557"/>
      <c r="D223" s="289"/>
      <c r="K223" s="1081"/>
      <c r="L223" s="1557"/>
      <c r="M223" s="1557"/>
      <c r="N223" s="1081"/>
      <c r="O223" s="1081"/>
      <c r="P223" s="1081"/>
      <c r="Q223" s="1081"/>
      <c r="R223" s="1557"/>
      <c r="S223" s="1081"/>
      <c r="T223" s="1081"/>
      <c r="U223" s="482"/>
      <c r="V223" s="1081"/>
      <c r="W223" s="1081"/>
      <c r="X223" s="1081"/>
      <c r="Y223" s="1081"/>
      <c r="Z223" s="1081"/>
      <c r="AA223" s="1553"/>
      <c r="AB223" s="504"/>
      <c r="AC223" s="504"/>
      <c r="AD223" s="504"/>
      <c r="AE223" s="504"/>
      <c r="AF223" s="1562">
        <v>11</v>
      </c>
    </row>
    <row r="224" spans="1:32" s="4299" customFormat="1" ht="11.45" customHeight="1">
      <c r="A224" s="913"/>
      <c r="B224" s="1557"/>
      <c r="C224" s="1557"/>
      <c r="D224" s="289"/>
      <c r="K224" s="1081"/>
      <c r="L224" s="1557"/>
      <c r="M224" s="1557"/>
      <c r="N224" s="1081"/>
      <c r="O224" s="1081"/>
      <c r="P224" s="1081"/>
      <c r="Q224" s="1081"/>
      <c r="R224" s="1557"/>
      <c r="S224" s="1081"/>
      <c r="T224" s="1081"/>
      <c r="U224" s="482"/>
      <c r="V224" s="1081"/>
      <c r="W224" s="1081"/>
      <c r="X224" s="1081"/>
      <c r="Y224" s="1081"/>
      <c r="Z224" s="1081"/>
      <c r="AA224" s="1553"/>
      <c r="AB224" s="504"/>
      <c r="AC224" s="504"/>
      <c r="AD224" s="504"/>
      <c r="AE224" s="504"/>
      <c r="AF224" s="1562">
        <v>11</v>
      </c>
    </row>
    <row r="225" spans="1:32" s="4299" customFormat="1" ht="11.45" customHeight="1">
      <c r="A225" s="913"/>
      <c r="B225" s="1557"/>
      <c r="C225" s="1557"/>
      <c r="D225" s="289"/>
      <c r="K225" s="1081"/>
      <c r="L225" s="1557"/>
      <c r="M225" s="1557"/>
      <c r="N225" s="1081"/>
      <c r="O225" s="1081"/>
      <c r="P225" s="1081"/>
      <c r="Q225" s="1081"/>
      <c r="R225" s="1557"/>
      <c r="S225" s="1081"/>
      <c r="T225" s="1081"/>
      <c r="U225" s="482"/>
      <c r="V225" s="1081"/>
      <c r="W225" s="1081"/>
      <c r="X225" s="1081"/>
      <c r="Y225" s="1081"/>
      <c r="Z225" s="1081"/>
      <c r="AA225" s="1553"/>
      <c r="AB225" s="504"/>
      <c r="AC225" s="504"/>
      <c r="AD225" s="504"/>
      <c r="AE225" s="504"/>
      <c r="AF225" s="1562">
        <v>11</v>
      </c>
    </row>
    <row r="226" spans="1:32" s="4299" customFormat="1" ht="11.45" customHeight="1">
      <c r="A226" s="913"/>
      <c r="B226" s="1557"/>
      <c r="C226" s="1557"/>
      <c r="D226" s="289"/>
      <c r="K226" s="1081"/>
      <c r="L226" s="1557"/>
      <c r="M226" s="1557"/>
      <c r="N226" s="1081"/>
      <c r="O226" s="1081"/>
      <c r="P226" s="1081"/>
      <c r="Q226" s="1081"/>
      <c r="R226" s="1557"/>
      <c r="S226" s="1081"/>
      <c r="T226" s="1081"/>
      <c r="U226" s="482"/>
      <c r="V226" s="1081"/>
      <c r="W226" s="1081"/>
      <c r="X226" s="1081"/>
      <c r="Y226" s="1081"/>
      <c r="Z226" s="1081"/>
      <c r="AA226" s="1553"/>
      <c r="AB226" s="504"/>
      <c r="AC226" s="504"/>
      <c r="AD226" s="504"/>
      <c r="AE226" s="504"/>
      <c r="AF226" s="1562">
        <v>11</v>
      </c>
    </row>
    <row r="227" spans="1:32" s="4299" customFormat="1" ht="11.45" customHeight="1">
      <c r="A227" s="913"/>
      <c r="B227" s="1557"/>
      <c r="C227" s="1557"/>
      <c r="D227" s="289"/>
      <c r="K227" s="1081"/>
      <c r="L227" s="1557"/>
      <c r="M227" s="1557"/>
      <c r="N227" s="1081"/>
      <c r="O227" s="1081"/>
      <c r="P227" s="1081"/>
      <c r="Q227" s="1081"/>
      <c r="R227" s="1557"/>
      <c r="S227" s="1081"/>
      <c r="T227" s="1081"/>
      <c r="U227" s="482"/>
      <c r="V227" s="1081"/>
      <c r="W227" s="1081"/>
      <c r="X227" s="1081"/>
      <c r="Y227" s="1081"/>
      <c r="Z227" s="1081"/>
      <c r="AA227" s="1553"/>
      <c r="AB227" s="504"/>
      <c r="AC227" s="504"/>
      <c r="AD227" s="504"/>
      <c r="AE227" s="504"/>
      <c r="AF227" s="1562">
        <v>11</v>
      </c>
    </row>
    <row r="228" spans="1:32" s="4299" customFormat="1" ht="11.45" customHeight="1">
      <c r="A228" s="913"/>
      <c r="B228" s="1557"/>
      <c r="C228" s="1557"/>
      <c r="D228" s="289"/>
      <c r="K228" s="1081"/>
      <c r="L228" s="1557"/>
      <c r="M228" s="1557"/>
      <c r="N228" s="1081"/>
      <c r="O228" s="1081"/>
      <c r="P228" s="1081"/>
      <c r="Q228" s="1081"/>
      <c r="R228" s="1557"/>
      <c r="S228" s="1081"/>
      <c r="T228" s="1081"/>
      <c r="U228" s="482"/>
      <c r="V228" s="1081"/>
      <c r="W228" s="1081"/>
      <c r="X228" s="1081"/>
      <c r="Y228" s="1081"/>
      <c r="Z228" s="1081"/>
      <c r="AA228" s="1553"/>
      <c r="AB228" s="504"/>
      <c r="AC228" s="504"/>
      <c r="AD228" s="504"/>
      <c r="AE228" s="504"/>
      <c r="AF228" s="1562">
        <v>11</v>
      </c>
    </row>
    <row r="229" spans="1:32" s="4299" customFormat="1" ht="11.45" customHeight="1">
      <c r="A229" s="913"/>
      <c r="B229" s="1557"/>
      <c r="C229" s="1557"/>
      <c r="D229" s="289"/>
      <c r="K229" s="1081"/>
      <c r="L229" s="1557"/>
      <c r="M229" s="1557"/>
      <c r="N229" s="1081"/>
      <c r="O229" s="1081"/>
      <c r="P229" s="1081"/>
      <c r="Q229" s="1081"/>
      <c r="R229" s="1557"/>
      <c r="S229" s="1081"/>
      <c r="T229" s="1081"/>
      <c r="U229" s="482"/>
      <c r="V229" s="1081"/>
      <c r="W229" s="1081"/>
      <c r="X229" s="1081"/>
      <c r="Y229" s="1081"/>
      <c r="Z229" s="1081"/>
      <c r="AA229" s="1553"/>
      <c r="AB229" s="504"/>
      <c r="AC229" s="504"/>
      <c r="AD229" s="504"/>
      <c r="AE229" s="504"/>
      <c r="AF229" s="1562">
        <v>11</v>
      </c>
    </row>
    <row r="230" spans="1:32" s="4299" customFormat="1" ht="11.45" customHeight="1">
      <c r="A230" s="913"/>
      <c r="B230" s="1557"/>
      <c r="C230" s="1557"/>
      <c r="D230" s="289"/>
      <c r="K230" s="1081"/>
      <c r="L230" s="1557"/>
      <c r="M230" s="1557"/>
      <c r="N230" s="1081"/>
      <c r="O230" s="1081"/>
      <c r="P230" s="1081"/>
      <c r="Q230" s="1081"/>
      <c r="R230" s="1557"/>
      <c r="S230" s="1081"/>
      <c r="T230" s="1081"/>
      <c r="U230" s="482"/>
      <c r="V230" s="1081"/>
      <c r="W230" s="1081"/>
      <c r="X230" s="1081"/>
      <c r="Y230" s="1081"/>
      <c r="Z230" s="1081"/>
      <c r="AA230" s="1553"/>
      <c r="AB230" s="504"/>
      <c r="AC230" s="504"/>
      <c r="AD230" s="504"/>
      <c r="AE230" s="504"/>
      <c r="AF230" s="1562">
        <v>11</v>
      </c>
    </row>
    <row r="231" spans="1:32" s="4299" customFormat="1" ht="11.45" customHeight="1">
      <c r="A231" s="913"/>
      <c r="B231" s="1557"/>
      <c r="C231" s="1557"/>
      <c r="D231" s="289"/>
      <c r="K231" s="1081"/>
      <c r="L231" s="1557"/>
      <c r="M231" s="1557"/>
      <c r="N231" s="1081"/>
      <c r="O231" s="1081"/>
      <c r="P231" s="1081"/>
      <c r="Q231" s="1081"/>
      <c r="R231" s="1557"/>
      <c r="S231" s="1081"/>
      <c r="T231" s="1081"/>
      <c r="U231" s="482"/>
      <c r="V231" s="1081"/>
      <c r="W231" s="1081"/>
      <c r="X231" s="1081"/>
      <c r="Y231" s="1081"/>
      <c r="Z231" s="1081"/>
      <c r="AA231" s="1553"/>
      <c r="AB231" s="504"/>
      <c r="AC231" s="504"/>
      <c r="AD231" s="504"/>
      <c r="AE231" s="504"/>
      <c r="AF231" s="1562">
        <v>11</v>
      </c>
    </row>
    <row r="232" spans="1:32" s="4299" customFormat="1" ht="11.45" customHeight="1">
      <c r="A232" s="913"/>
      <c r="B232" s="1557"/>
      <c r="C232" s="1557"/>
      <c r="D232" s="289"/>
      <c r="K232" s="1081"/>
      <c r="L232" s="1557"/>
      <c r="M232" s="1557"/>
      <c r="N232" s="1081"/>
      <c r="O232" s="1081"/>
      <c r="P232" s="1081"/>
      <c r="Q232" s="1081"/>
      <c r="R232" s="1557"/>
      <c r="S232" s="1081"/>
      <c r="T232" s="1081"/>
      <c r="U232" s="482"/>
      <c r="V232" s="1081"/>
      <c r="W232" s="1081"/>
      <c r="X232" s="1081"/>
      <c r="Y232" s="1081"/>
      <c r="Z232" s="1081"/>
      <c r="AA232" s="1553"/>
      <c r="AB232" s="504"/>
      <c r="AC232" s="504"/>
      <c r="AD232" s="504"/>
      <c r="AE232" s="504"/>
      <c r="AF232" s="1562">
        <v>11</v>
      </c>
    </row>
    <row r="233" spans="1:32" s="4299" customFormat="1" ht="11.45" customHeight="1">
      <c r="A233" s="913"/>
      <c r="B233" s="1557"/>
      <c r="C233" s="1557"/>
      <c r="D233" s="289"/>
      <c r="K233" s="1081"/>
      <c r="L233" s="1557"/>
      <c r="M233" s="1557"/>
      <c r="N233" s="1081"/>
      <c r="O233" s="1081"/>
      <c r="P233" s="1081"/>
      <c r="Q233" s="1081"/>
      <c r="R233" s="1557"/>
      <c r="S233" s="1081"/>
      <c r="T233" s="1081"/>
      <c r="U233" s="482"/>
      <c r="V233" s="1081"/>
      <c r="W233" s="1081"/>
      <c r="X233" s="1081"/>
      <c r="Y233" s="1081"/>
      <c r="Z233" s="1081"/>
      <c r="AA233" s="1553"/>
      <c r="AB233" s="504"/>
      <c r="AC233" s="504"/>
      <c r="AD233" s="504"/>
      <c r="AE233" s="504"/>
      <c r="AF233" s="1562">
        <v>11</v>
      </c>
    </row>
    <row r="234" spans="1:32" s="4299" customFormat="1" ht="11.45" customHeight="1">
      <c r="A234" s="913"/>
      <c r="B234" s="1557"/>
      <c r="C234" s="1557"/>
      <c r="D234" s="289"/>
      <c r="K234" s="1081"/>
      <c r="L234" s="1557"/>
      <c r="M234" s="1557"/>
      <c r="N234" s="1081"/>
      <c r="O234" s="1081"/>
      <c r="P234" s="1081"/>
      <c r="Q234" s="1081"/>
      <c r="R234" s="1557"/>
      <c r="S234" s="1081"/>
      <c r="T234" s="1081"/>
      <c r="U234" s="482"/>
      <c r="V234" s="1081"/>
      <c r="W234" s="1081"/>
      <c r="X234" s="1081"/>
      <c r="Y234" s="1081"/>
      <c r="Z234" s="1081"/>
      <c r="AA234" s="1553"/>
      <c r="AB234" s="504"/>
      <c r="AC234" s="504"/>
      <c r="AD234" s="504"/>
      <c r="AE234" s="504"/>
      <c r="AF234" s="1562">
        <v>11</v>
      </c>
    </row>
    <row r="235" spans="1:32" s="4299" customFormat="1" ht="11.45" customHeight="1">
      <c r="A235" s="913"/>
      <c r="B235" s="1557"/>
      <c r="C235" s="1557"/>
      <c r="D235" s="289"/>
      <c r="K235" s="1081"/>
      <c r="L235" s="1557"/>
      <c r="M235" s="1557"/>
      <c r="N235" s="1081"/>
      <c r="O235" s="1081"/>
      <c r="P235" s="1081"/>
      <c r="Q235" s="1081"/>
      <c r="R235" s="1557"/>
      <c r="S235" s="1081"/>
      <c r="T235" s="1081"/>
      <c r="U235" s="482"/>
      <c r="V235" s="1081"/>
      <c r="W235" s="1081"/>
      <c r="X235" s="1081"/>
      <c r="Y235" s="1081"/>
      <c r="Z235" s="1081"/>
      <c r="AA235" s="1553"/>
      <c r="AB235" s="504"/>
      <c r="AC235" s="504"/>
      <c r="AD235" s="504"/>
      <c r="AE235" s="504"/>
      <c r="AF235" s="1562">
        <v>11</v>
      </c>
    </row>
    <row r="236" spans="1:32" s="4299" customFormat="1" ht="11.45" customHeight="1">
      <c r="A236" s="913"/>
      <c r="B236" s="1557"/>
      <c r="C236" s="1557"/>
      <c r="D236" s="289"/>
      <c r="K236" s="1081"/>
      <c r="L236" s="1557"/>
      <c r="M236" s="1557"/>
      <c r="N236" s="1081"/>
      <c r="O236" s="1081"/>
      <c r="P236" s="1081"/>
      <c r="Q236" s="1081"/>
      <c r="R236" s="1557"/>
      <c r="S236" s="1081"/>
      <c r="T236" s="1081"/>
      <c r="U236" s="482"/>
      <c r="V236" s="1081"/>
      <c r="W236" s="1081"/>
      <c r="X236" s="1081"/>
      <c r="Y236" s="1081"/>
      <c r="Z236" s="1081"/>
      <c r="AA236" s="1553"/>
      <c r="AB236" s="504"/>
      <c r="AC236" s="504"/>
      <c r="AD236" s="504"/>
      <c r="AE236" s="504"/>
      <c r="AF236" s="1562">
        <v>11</v>
      </c>
    </row>
    <row r="237" spans="1:32" s="4299" customFormat="1" ht="11.45" customHeight="1">
      <c r="A237" s="913"/>
      <c r="B237" s="1557"/>
      <c r="C237" s="1557"/>
      <c r="D237" s="289"/>
      <c r="K237" s="1081"/>
      <c r="L237" s="1557"/>
      <c r="M237" s="1557"/>
      <c r="N237" s="1081"/>
      <c r="O237" s="1081"/>
      <c r="P237" s="1081"/>
      <c r="Q237" s="1081"/>
      <c r="R237" s="1557"/>
      <c r="S237" s="1081"/>
      <c r="T237" s="1081"/>
      <c r="U237" s="482"/>
      <c r="V237" s="1081"/>
      <c r="W237" s="1081"/>
      <c r="X237" s="1081"/>
      <c r="Y237" s="1081"/>
      <c r="Z237" s="1081"/>
      <c r="AA237" s="1553"/>
      <c r="AB237" s="504"/>
      <c r="AC237" s="504"/>
      <c r="AD237" s="504"/>
      <c r="AE237" s="504"/>
      <c r="AF237" s="1562">
        <v>11</v>
      </c>
    </row>
    <row r="238" spans="1:32" s="4299" customFormat="1" ht="11.45" customHeight="1">
      <c r="A238" s="913"/>
      <c r="B238" s="1557"/>
      <c r="C238" s="1557"/>
      <c r="D238" s="289"/>
      <c r="K238" s="1081"/>
      <c r="L238" s="1557"/>
      <c r="M238" s="1557"/>
      <c r="N238" s="1081"/>
      <c r="O238" s="1081"/>
      <c r="P238" s="1081"/>
      <c r="Q238" s="1081"/>
      <c r="R238" s="1557"/>
      <c r="S238" s="1081"/>
      <c r="T238" s="1081"/>
      <c r="U238" s="482"/>
      <c r="V238" s="1081"/>
      <c r="W238" s="1081"/>
      <c r="X238" s="1081"/>
      <c r="Y238" s="1081"/>
      <c r="Z238" s="1081"/>
      <c r="AA238" s="1553"/>
      <c r="AB238" s="504"/>
      <c r="AC238" s="504"/>
      <c r="AD238" s="504"/>
      <c r="AE238" s="504"/>
      <c r="AF238" s="1562">
        <v>11</v>
      </c>
    </row>
    <row r="239" spans="1:32" s="4299" customFormat="1" ht="11.45" customHeight="1">
      <c r="A239" s="913"/>
      <c r="B239" s="1557"/>
      <c r="C239" s="1557"/>
      <c r="D239" s="289"/>
      <c r="K239" s="1081"/>
      <c r="L239" s="1557"/>
      <c r="M239" s="1557"/>
      <c r="N239" s="1081"/>
      <c r="O239" s="1081"/>
      <c r="P239" s="1081"/>
      <c r="Q239" s="1081"/>
      <c r="R239" s="1557"/>
      <c r="S239" s="1081"/>
      <c r="T239" s="1081"/>
      <c r="U239" s="482"/>
      <c r="V239" s="1081"/>
      <c r="W239" s="1081"/>
      <c r="X239" s="1081"/>
      <c r="Y239" s="1081"/>
      <c r="Z239" s="1081"/>
      <c r="AA239" s="1553"/>
      <c r="AB239" s="504"/>
      <c r="AC239" s="504"/>
      <c r="AD239" s="504"/>
      <c r="AE239" s="504"/>
      <c r="AF239" s="1562">
        <v>11</v>
      </c>
    </row>
    <row r="240" spans="1:32" s="4299" customFormat="1" ht="11.45" customHeight="1">
      <c r="A240" s="913"/>
      <c r="B240" s="1557"/>
      <c r="C240" s="1557"/>
      <c r="D240" s="289"/>
      <c r="K240" s="1081"/>
      <c r="L240" s="1557"/>
      <c r="M240" s="1557"/>
      <c r="N240" s="1081"/>
      <c r="O240" s="1081"/>
      <c r="P240" s="1081"/>
      <c r="Q240" s="1081"/>
      <c r="R240" s="1557"/>
      <c r="S240" s="1081"/>
      <c r="T240" s="1081"/>
      <c r="U240" s="482"/>
      <c r="V240" s="1081"/>
      <c r="W240" s="1081"/>
      <c r="X240" s="1081"/>
      <c r="Y240" s="1081"/>
      <c r="Z240" s="1081"/>
      <c r="AA240" s="1553"/>
      <c r="AB240" s="504"/>
      <c r="AC240" s="504"/>
      <c r="AD240" s="504"/>
      <c r="AE240" s="504"/>
      <c r="AF240" s="1562">
        <v>11</v>
      </c>
    </row>
    <row r="241" spans="1:32" s="4299" customFormat="1" ht="11.45" customHeight="1">
      <c r="A241" s="913"/>
      <c r="B241" s="1557"/>
      <c r="C241" s="1557"/>
      <c r="D241" s="289"/>
      <c r="K241" s="1081"/>
      <c r="L241" s="1557"/>
      <c r="M241" s="1557"/>
      <c r="N241" s="1081"/>
      <c r="O241" s="1081"/>
      <c r="P241" s="1081"/>
      <c r="Q241" s="1081"/>
      <c r="R241" s="1557"/>
      <c r="S241" s="1081"/>
      <c r="T241" s="1081"/>
      <c r="U241" s="482"/>
      <c r="V241" s="1081"/>
      <c r="W241" s="1081"/>
      <c r="X241" s="1081"/>
      <c r="Y241" s="1081"/>
      <c r="Z241" s="1081"/>
      <c r="AA241" s="1553"/>
      <c r="AB241" s="504"/>
      <c r="AC241" s="504"/>
      <c r="AD241" s="504"/>
      <c r="AE241" s="504"/>
      <c r="AF241" s="1562">
        <v>11</v>
      </c>
    </row>
    <row r="242" spans="1:32" s="4299" customFormat="1" ht="11.45" customHeight="1">
      <c r="A242" s="913"/>
      <c r="B242" s="1557"/>
      <c r="C242" s="1557"/>
      <c r="D242" s="289"/>
      <c r="K242" s="1081"/>
      <c r="L242" s="1557"/>
      <c r="M242" s="1557"/>
      <c r="N242" s="1081"/>
      <c r="O242" s="1081"/>
      <c r="P242" s="1081"/>
      <c r="Q242" s="1081"/>
      <c r="R242" s="1557"/>
      <c r="S242" s="1081"/>
      <c r="T242" s="1081"/>
      <c r="U242" s="482"/>
      <c r="V242" s="1081"/>
      <c r="W242" s="1081"/>
      <c r="X242" s="1081"/>
      <c r="Y242" s="1081"/>
      <c r="Z242" s="1081"/>
      <c r="AA242" s="1553"/>
      <c r="AB242" s="504"/>
      <c r="AC242" s="504"/>
      <c r="AD242" s="504"/>
      <c r="AE242" s="504"/>
      <c r="AF242" s="1562">
        <v>11</v>
      </c>
    </row>
    <row r="243" spans="1:32" s="4299" customFormat="1" ht="11.45" customHeight="1">
      <c r="A243" s="913"/>
      <c r="B243" s="1557"/>
      <c r="C243" s="1557"/>
      <c r="D243" s="289"/>
      <c r="K243" s="1081"/>
      <c r="L243" s="1557"/>
      <c r="M243" s="1557"/>
      <c r="N243" s="1081"/>
      <c r="O243" s="1081"/>
      <c r="P243" s="1081"/>
      <c r="Q243" s="1081"/>
      <c r="R243" s="1557"/>
      <c r="S243" s="1081"/>
      <c r="T243" s="1081"/>
      <c r="U243" s="482"/>
      <c r="V243" s="1081"/>
      <c r="W243" s="1081"/>
      <c r="X243" s="1081"/>
      <c r="Y243" s="1081"/>
      <c r="Z243" s="1081"/>
      <c r="AA243" s="1553"/>
      <c r="AB243" s="504"/>
      <c r="AC243" s="504"/>
      <c r="AD243" s="504"/>
      <c r="AE243" s="504"/>
      <c r="AF243" s="1562">
        <v>11</v>
      </c>
    </row>
    <row r="244" spans="1:32" s="4299" customFormat="1" ht="11.45" customHeight="1">
      <c r="A244" s="913"/>
      <c r="B244" s="1557"/>
      <c r="C244" s="1557"/>
      <c r="D244" s="289"/>
      <c r="K244" s="1081"/>
      <c r="L244" s="1557"/>
      <c r="M244" s="1557"/>
      <c r="N244" s="1081"/>
      <c r="O244" s="1081"/>
      <c r="P244" s="1081"/>
      <c r="Q244" s="1081"/>
      <c r="R244" s="1557"/>
      <c r="S244" s="1081"/>
      <c r="T244" s="1081"/>
      <c r="U244" s="482"/>
      <c r="V244" s="1081"/>
      <c r="W244" s="1081"/>
      <c r="X244" s="1081"/>
      <c r="Y244" s="1081"/>
      <c r="Z244" s="1081"/>
      <c r="AA244" s="1553"/>
      <c r="AB244" s="504"/>
      <c r="AC244" s="504"/>
      <c r="AD244" s="504"/>
      <c r="AE244" s="504"/>
      <c r="AF244" s="1562">
        <v>11</v>
      </c>
    </row>
    <row r="245" spans="1:32" s="4299" customFormat="1" ht="11.45" customHeight="1">
      <c r="A245" s="913"/>
      <c r="B245" s="1557"/>
      <c r="C245" s="1557"/>
      <c r="D245" s="289"/>
      <c r="K245" s="1081"/>
      <c r="L245" s="1557"/>
      <c r="M245" s="1557"/>
      <c r="N245" s="1081"/>
      <c r="O245" s="1081"/>
      <c r="P245" s="1081"/>
      <c r="Q245" s="1081"/>
      <c r="R245" s="1557"/>
      <c r="S245" s="1081"/>
      <c r="T245" s="1081"/>
      <c r="U245" s="482"/>
      <c r="V245" s="1081"/>
      <c r="W245" s="1081"/>
      <c r="X245" s="1081"/>
      <c r="Y245" s="1081"/>
      <c r="Z245" s="1081"/>
      <c r="AA245" s="1553"/>
      <c r="AB245" s="504"/>
      <c r="AC245" s="504"/>
      <c r="AD245" s="504"/>
      <c r="AE245" s="504"/>
      <c r="AF245" s="1562">
        <v>11</v>
      </c>
    </row>
    <row r="246" spans="1:32" s="4299" customFormat="1" ht="11.45" customHeight="1">
      <c r="A246" s="913"/>
      <c r="B246" s="1557"/>
      <c r="C246" s="1557"/>
      <c r="D246" s="289"/>
      <c r="K246" s="1081"/>
      <c r="L246" s="1557"/>
      <c r="M246" s="1557"/>
      <c r="N246" s="1081"/>
      <c r="O246" s="1081"/>
      <c r="P246" s="1081"/>
      <c r="Q246" s="1081"/>
      <c r="R246" s="1557"/>
      <c r="S246" s="1081"/>
      <c r="T246" s="1081"/>
      <c r="U246" s="482"/>
      <c r="V246" s="1081"/>
      <c r="W246" s="1081"/>
      <c r="X246" s="1081"/>
      <c r="Y246" s="1081"/>
      <c r="Z246" s="1081"/>
      <c r="AA246" s="1553"/>
      <c r="AB246" s="504"/>
      <c r="AC246" s="504"/>
      <c r="AD246" s="504"/>
      <c r="AE246" s="504"/>
      <c r="AF246" s="1562">
        <v>11</v>
      </c>
    </row>
    <row r="247" spans="1:32" s="4299" customFormat="1" ht="11.45" customHeight="1">
      <c r="A247" s="913"/>
      <c r="B247" s="1557"/>
      <c r="C247" s="1557"/>
      <c r="D247" s="289"/>
      <c r="K247" s="1081"/>
      <c r="L247" s="1557"/>
      <c r="M247" s="1557"/>
      <c r="N247" s="1081"/>
      <c r="O247" s="1081"/>
      <c r="P247" s="1081"/>
      <c r="Q247" s="1081"/>
      <c r="R247" s="1557"/>
      <c r="S247" s="1081"/>
      <c r="T247" s="1081"/>
      <c r="U247" s="482"/>
      <c r="V247" s="1081"/>
      <c r="W247" s="1081"/>
      <c r="X247" s="1081"/>
      <c r="Y247" s="1081"/>
      <c r="Z247" s="1081"/>
      <c r="AA247" s="1553"/>
      <c r="AB247" s="504"/>
      <c r="AC247" s="504"/>
      <c r="AD247" s="504"/>
      <c r="AE247" s="504"/>
      <c r="AF247" s="1562">
        <v>11</v>
      </c>
    </row>
    <row r="248" spans="1:32" s="4299" customFormat="1" ht="11.45" customHeight="1">
      <c r="A248" s="913"/>
      <c r="B248" s="1557"/>
      <c r="C248" s="1557"/>
      <c r="D248" s="289"/>
      <c r="K248" s="1081"/>
      <c r="L248" s="1557"/>
      <c r="M248" s="1557"/>
      <c r="N248" s="1081"/>
      <c r="O248" s="1081"/>
      <c r="P248" s="1081"/>
      <c r="Q248" s="1081"/>
      <c r="R248" s="1557"/>
      <c r="S248" s="1081"/>
      <c r="T248" s="1081"/>
      <c r="U248" s="482"/>
      <c r="V248" s="1081"/>
      <c r="W248" s="1081"/>
      <c r="X248" s="1081"/>
      <c r="Y248" s="1081"/>
      <c r="Z248" s="1081"/>
      <c r="AA248" s="1553"/>
      <c r="AB248" s="504"/>
      <c r="AC248" s="504"/>
      <c r="AD248" s="504"/>
      <c r="AE248" s="504"/>
      <c r="AF248" s="1562">
        <v>11</v>
      </c>
    </row>
    <row r="249" spans="1:32" s="4299" customFormat="1" ht="11.45" customHeight="1">
      <c r="A249" s="913"/>
      <c r="B249" s="1557"/>
      <c r="C249" s="1557"/>
      <c r="D249" s="289"/>
      <c r="K249" s="1081"/>
      <c r="L249" s="1557"/>
      <c r="M249" s="1557"/>
      <c r="N249" s="1081"/>
      <c r="O249" s="1081"/>
      <c r="P249" s="1081"/>
      <c r="Q249" s="1081"/>
      <c r="R249" s="1557"/>
      <c r="S249" s="1081"/>
      <c r="T249" s="1081"/>
      <c r="U249" s="482"/>
      <c r="V249" s="1081"/>
      <c r="W249" s="1081"/>
      <c r="X249" s="1081"/>
      <c r="Y249" s="1081"/>
      <c r="Z249" s="1081"/>
      <c r="AA249" s="1553"/>
      <c r="AB249" s="504"/>
      <c r="AC249" s="504"/>
      <c r="AD249" s="504"/>
      <c r="AE249" s="504"/>
      <c r="AF249" s="1562">
        <v>11</v>
      </c>
    </row>
    <row r="250" spans="1:32" s="4299" customFormat="1" ht="11.45" customHeight="1">
      <c r="A250" s="913"/>
      <c r="B250" s="1557"/>
      <c r="C250" s="1557"/>
      <c r="D250" s="289"/>
      <c r="K250" s="1081"/>
      <c r="L250" s="1557"/>
      <c r="M250" s="1557"/>
      <c r="N250" s="1081"/>
      <c r="O250" s="1081"/>
      <c r="P250" s="1081"/>
      <c r="Q250" s="1081"/>
      <c r="R250" s="1557"/>
      <c r="S250" s="1081"/>
      <c r="T250" s="1081"/>
      <c r="U250" s="482"/>
      <c r="V250" s="1081"/>
      <c r="W250" s="1081"/>
      <c r="X250" s="1081"/>
      <c r="Y250" s="1081"/>
      <c r="Z250" s="1081"/>
      <c r="AA250" s="1553"/>
      <c r="AB250" s="504"/>
      <c r="AC250" s="504"/>
      <c r="AD250" s="504"/>
      <c r="AE250" s="504"/>
      <c r="AF250" s="1562">
        <v>11</v>
      </c>
    </row>
    <row r="251" spans="1:32" s="4299" customFormat="1" ht="11.45" customHeight="1">
      <c r="A251" s="913"/>
      <c r="B251" s="1557"/>
      <c r="C251" s="1557"/>
      <c r="D251" s="289"/>
      <c r="K251" s="1081"/>
      <c r="L251" s="1557"/>
      <c r="M251" s="1557"/>
      <c r="N251" s="1081"/>
      <c r="O251" s="1081"/>
      <c r="P251" s="1081"/>
      <c r="Q251" s="1081"/>
      <c r="R251" s="1557"/>
      <c r="S251" s="1081"/>
      <c r="T251" s="1081"/>
      <c r="U251" s="482"/>
      <c r="V251" s="1081"/>
      <c r="W251" s="1081"/>
      <c r="X251" s="1081"/>
      <c r="Y251" s="1081"/>
      <c r="Z251" s="1081"/>
      <c r="AA251" s="1553"/>
      <c r="AB251" s="504"/>
      <c r="AC251" s="504"/>
      <c r="AD251" s="504"/>
      <c r="AE251" s="504"/>
      <c r="AF251" s="1562">
        <v>11</v>
      </c>
    </row>
    <row r="252" spans="1:32" s="4299" customFormat="1" ht="11.45" customHeight="1">
      <c r="A252" s="913"/>
      <c r="B252" s="1557"/>
      <c r="C252" s="1557"/>
      <c r="D252" s="289"/>
      <c r="K252" s="1081"/>
      <c r="L252" s="1557"/>
      <c r="M252" s="1557"/>
      <c r="N252" s="1081"/>
      <c r="O252" s="1081"/>
      <c r="P252" s="1081"/>
      <c r="Q252" s="1081"/>
      <c r="R252" s="1557"/>
      <c r="S252" s="1081"/>
      <c r="T252" s="1081"/>
      <c r="U252" s="482"/>
      <c r="V252" s="1081"/>
      <c r="W252" s="1081"/>
      <c r="X252" s="1081"/>
      <c r="Y252" s="1081"/>
      <c r="Z252" s="1081"/>
      <c r="AA252" s="1553"/>
      <c r="AB252" s="504"/>
      <c r="AC252" s="504"/>
      <c r="AD252" s="504"/>
      <c r="AE252" s="504"/>
      <c r="AF252" s="1562">
        <v>11</v>
      </c>
    </row>
    <row r="253" spans="1:32" s="4299" customFormat="1" ht="11.45" customHeight="1">
      <c r="A253" s="913"/>
      <c r="B253" s="1557"/>
      <c r="C253" s="1557"/>
      <c r="D253" s="289"/>
      <c r="K253" s="1081"/>
      <c r="L253" s="1557"/>
      <c r="M253" s="1557"/>
      <c r="N253" s="1081"/>
      <c r="O253" s="1081"/>
      <c r="P253" s="1081"/>
      <c r="Q253" s="1081"/>
      <c r="R253" s="1557"/>
      <c r="S253" s="1081"/>
      <c r="T253" s="1081"/>
      <c r="U253" s="482"/>
      <c r="V253" s="1081"/>
      <c r="W253" s="1081"/>
      <c r="X253" s="1081"/>
      <c r="Y253" s="1081"/>
      <c r="Z253" s="1081"/>
      <c r="AA253" s="1553"/>
      <c r="AB253" s="504"/>
      <c r="AC253" s="504"/>
      <c r="AD253" s="504"/>
      <c r="AE253" s="504"/>
      <c r="AF253" s="1562">
        <v>11</v>
      </c>
    </row>
    <row r="254" spans="1:32" s="4299" customFormat="1" ht="11.45" customHeight="1">
      <c r="A254" s="913"/>
      <c r="B254" s="1557"/>
      <c r="C254" s="1557"/>
      <c r="D254" s="289"/>
      <c r="K254" s="1081"/>
      <c r="L254" s="1557"/>
      <c r="M254" s="1557"/>
      <c r="N254" s="1081"/>
      <c r="O254" s="1081"/>
      <c r="P254" s="1081"/>
      <c r="Q254" s="1081"/>
      <c r="R254" s="1557"/>
      <c r="S254" s="1081"/>
      <c r="T254" s="1081"/>
      <c r="U254" s="482"/>
      <c r="V254" s="1081"/>
      <c r="W254" s="1081"/>
      <c r="X254" s="1081"/>
      <c r="Y254" s="1081"/>
      <c r="Z254" s="1081"/>
      <c r="AA254" s="1553"/>
      <c r="AB254" s="504"/>
      <c r="AC254" s="504"/>
      <c r="AD254" s="504"/>
      <c r="AE254" s="504"/>
      <c r="AF254" s="1562">
        <v>11</v>
      </c>
    </row>
    <row r="255" spans="1:32" s="4299" customFormat="1" ht="11.45" customHeight="1">
      <c r="A255" s="913"/>
      <c r="B255" s="1557"/>
      <c r="C255" s="1557"/>
      <c r="D255" s="289"/>
      <c r="K255" s="1081"/>
      <c r="L255" s="1557"/>
      <c r="M255" s="1557"/>
      <c r="N255" s="1081"/>
      <c r="O255" s="1081"/>
      <c r="P255" s="1081"/>
      <c r="Q255" s="1081"/>
      <c r="R255" s="1557"/>
      <c r="S255" s="1081"/>
      <c r="T255" s="1081"/>
      <c r="U255" s="482"/>
      <c r="V255" s="1081"/>
      <c r="W255" s="1081"/>
      <c r="X255" s="1081"/>
      <c r="Y255" s="1081"/>
      <c r="Z255" s="1081"/>
      <c r="AA255" s="1553"/>
      <c r="AB255" s="504"/>
      <c r="AC255" s="504"/>
      <c r="AD255" s="504"/>
      <c r="AE255" s="504"/>
      <c r="AF255" s="1562">
        <v>11</v>
      </c>
    </row>
    <row r="256" spans="1:32" s="4299" customFormat="1" ht="11.45" customHeight="1">
      <c r="A256" s="913"/>
      <c r="B256" s="1557"/>
      <c r="C256" s="1557"/>
      <c r="D256" s="289"/>
      <c r="K256" s="1081"/>
      <c r="L256" s="1557"/>
      <c r="M256" s="1557"/>
      <c r="N256" s="1081"/>
      <c r="O256" s="1081"/>
      <c r="P256" s="1081"/>
      <c r="Q256" s="1081"/>
      <c r="R256" s="1557"/>
      <c r="S256" s="1081"/>
      <c r="T256" s="1081"/>
      <c r="U256" s="482"/>
      <c r="V256" s="1081"/>
      <c r="W256" s="1081"/>
      <c r="X256" s="1081"/>
      <c r="Y256" s="1081"/>
      <c r="Z256" s="1081"/>
      <c r="AA256" s="1553"/>
      <c r="AB256" s="504"/>
      <c r="AC256" s="504"/>
      <c r="AD256" s="504"/>
      <c r="AE256" s="504"/>
      <c r="AF256" s="1562">
        <v>11</v>
      </c>
    </row>
    <row r="257" spans="1:32" s="4299" customFormat="1" ht="11.45" customHeight="1">
      <c r="A257" s="913"/>
      <c r="B257" s="1557"/>
      <c r="C257" s="1557"/>
      <c r="D257" s="289"/>
      <c r="K257" s="1081"/>
      <c r="L257" s="1557"/>
      <c r="M257" s="1557"/>
      <c r="N257" s="1081"/>
      <c r="O257" s="1081"/>
      <c r="P257" s="1081"/>
      <c r="Q257" s="1081"/>
      <c r="R257" s="1557"/>
      <c r="S257" s="1081"/>
      <c r="T257" s="1081"/>
      <c r="U257" s="482"/>
      <c r="V257" s="1081"/>
      <c r="W257" s="1081"/>
      <c r="X257" s="1081"/>
      <c r="Y257" s="1081"/>
      <c r="Z257" s="1081"/>
      <c r="AA257" s="1553"/>
      <c r="AB257" s="504"/>
      <c r="AC257" s="504"/>
      <c r="AD257" s="504"/>
      <c r="AE257" s="504"/>
      <c r="AF257" s="1562">
        <v>11</v>
      </c>
    </row>
    <row r="258" spans="1:32" s="4299" customFormat="1" ht="11.45" customHeight="1">
      <c r="A258" s="913"/>
      <c r="B258" s="1557"/>
      <c r="C258" s="1557"/>
      <c r="D258" s="289"/>
      <c r="K258" s="1081"/>
      <c r="L258" s="1557"/>
      <c r="M258" s="1557"/>
      <c r="N258" s="1081"/>
      <c r="O258" s="1081"/>
      <c r="P258" s="1081"/>
      <c r="Q258" s="1081"/>
      <c r="R258" s="1557"/>
      <c r="S258" s="1081"/>
      <c r="T258" s="1081"/>
      <c r="U258" s="482"/>
      <c r="V258" s="1081"/>
      <c r="W258" s="1081"/>
      <c r="X258" s="1081"/>
      <c r="Y258" s="1081"/>
      <c r="Z258" s="1081"/>
      <c r="AA258" s="1553"/>
      <c r="AB258" s="504"/>
      <c r="AC258" s="504"/>
      <c r="AD258" s="504"/>
      <c r="AE258" s="504"/>
      <c r="AF258" s="1562">
        <v>11</v>
      </c>
    </row>
    <row r="259" spans="1:32" s="4299" customFormat="1" ht="11.45" customHeight="1">
      <c r="A259" s="913"/>
      <c r="B259" s="1557"/>
      <c r="C259" s="1557"/>
      <c r="D259" s="289"/>
      <c r="K259" s="1081"/>
      <c r="L259" s="1557"/>
      <c r="M259" s="1557"/>
      <c r="N259" s="1081"/>
      <c r="O259" s="1081"/>
      <c r="P259" s="1081"/>
      <c r="Q259" s="1081"/>
      <c r="R259" s="1557"/>
      <c r="S259" s="1081"/>
      <c r="T259" s="1081"/>
      <c r="U259" s="482"/>
      <c r="V259" s="1081"/>
      <c r="W259" s="1081"/>
      <c r="X259" s="1081"/>
      <c r="Y259" s="1081"/>
      <c r="Z259" s="1081"/>
      <c r="AA259" s="1553"/>
      <c r="AB259" s="504"/>
      <c r="AC259" s="504"/>
      <c r="AD259" s="504"/>
      <c r="AE259" s="504"/>
      <c r="AF259" s="1562">
        <v>11</v>
      </c>
    </row>
    <row r="260" spans="1:32" s="4299" customFormat="1" ht="11.45" customHeight="1">
      <c r="A260" s="913"/>
      <c r="B260" s="1557"/>
      <c r="C260" s="1557"/>
      <c r="D260" s="289"/>
      <c r="K260" s="1081"/>
      <c r="L260" s="1557"/>
      <c r="M260" s="1557"/>
      <c r="N260" s="1081"/>
      <c r="O260" s="1081"/>
      <c r="P260" s="1081"/>
      <c r="Q260" s="1081"/>
      <c r="R260" s="1557"/>
      <c r="S260" s="1081"/>
      <c r="T260" s="1081"/>
      <c r="U260" s="482"/>
      <c r="V260" s="1081"/>
      <c r="W260" s="1081"/>
      <c r="X260" s="1081"/>
      <c r="Y260" s="1081"/>
      <c r="Z260" s="1081"/>
      <c r="AA260" s="1553"/>
      <c r="AB260" s="504"/>
      <c r="AC260" s="504"/>
      <c r="AD260" s="504"/>
      <c r="AE260" s="504"/>
      <c r="AF260" s="1562">
        <v>11</v>
      </c>
    </row>
    <row r="261" spans="1:32" s="4299" customFormat="1" ht="11.45" customHeight="1">
      <c r="A261" s="913"/>
      <c r="B261" s="1557"/>
      <c r="C261" s="1557"/>
      <c r="D261" s="289"/>
      <c r="K261" s="1081"/>
      <c r="L261" s="1557"/>
      <c r="M261" s="1557"/>
      <c r="N261" s="1081"/>
      <c r="O261" s="1081"/>
      <c r="P261" s="1081"/>
      <c r="Q261" s="1081"/>
      <c r="R261" s="1557"/>
      <c r="S261" s="1081"/>
      <c r="T261" s="1081"/>
      <c r="U261" s="482"/>
      <c r="V261" s="1081"/>
      <c r="W261" s="1081"/>
      <c r="X261" s="1081"/>
      <c r="Y261" s="1081"/>
      <c r="Z261" s="1081"/>
      <c r="AA261" s="1553"/>
      <c r="AB261" s="504"/>
      <c r="AC261" s="504"/>
      <c r="AD261" s="504"/>
      <c r="AE261" s="504"/>
      <c r="AF261" s="1562">
        <v>11</v>
      </c>
    </row>
    <row r="262" spans="1:32" s="4299" customFormat="1" ht="11.45" customHeight="1">
      <c r="A262" s="913"/>
      <c r="B262" s="1557"/>
      <c r="C262" s="1557"/>
      <c r="D262" s="289"/>
      <c r="K262" s="1081"/>
      <c r="L262" s="1557"/>
      <c r="M262" s="1557"/>
      <c r="N262" s="1081"/>
      <c r="O262" s="1081"/>
      <c r="P262" s="1081"/>
      <c r="Q262" s="1081"/>
      <c r="R262" s="1557"/>
      <c r="S262" s="1081"/>
      <c r="T262" s="1081"/>
      <c r="U262" s="482"/>
      <c r="V262" s="1081"/>
      <c r="W262" s="1081"/>
      <c r="X262" s="1081"/>
      <c r="Y262" s="1081"/>
      <c r="Z262" s="1081"/>
      <c r="AA262" s="1553"/>
      <c r="AB262" s="504"/>
      <c r="AC262" s="504"/>
      <c r="AD262" s="504"/>
      <c r="AE262" s="504"/>
      <c r="AF262" s="1562">
        <v>11</v>
      </c>
    </row>
    <row r="263" spans="1:32" s="4299" customFormat="1" ht="11.45" customHeight="1">
      <c r="A263" s="913"/>
      <c r="B263" s="1557"/>
      <c r="C263" s="1557"/>
      <c r="D263" s="289"/>
      <c r="K263" s="1081"/>
      <c r="L263" s="1557"/>
      <c r="M263" s="1557"/>
      <c r="N263" s="1081"/>
      <c r="O263" s="1081"/>
      <c r="P263" s="1081"/>
      <c r="Q263" s="1081"/>
      <c r="R263" s="1557"/>
      <c r="S263" s="1081"/>
      <c r="T263" s="1081"/>
      <c r="U263" s="482"/>
      <c r="V263" s="1081"/>
      <c r="W263" s="1081"/>
      <c r="X263" s="1081"/>
      <c r="Y263" s="1081"/>
      <c r="Z263" s="1081"/>
      <c r="AA263" s="1553"/>
      <c r="AB263" s="504"/>
      <c r="AC263" s="504"/>
      <c r="AD263" s="504"/>
      <c r="AE263" s="504"/>
      <c r="AF263" s="1562">
        <v>11</v>
      </c>
    </row>
    <row r="264" spans="1:32" s="4299" customFormat="1" ht="11.45" customHeight="1">
      <c r="A264" s="913"/>
      <c r="B264" s="1557"/>
      <c r="C264" s="1557"/>
      <c r="D264" s="289"/>
      <c r="K264" s="1081"/>
      <c r="L264" s="1557"/>
      <c r="M264" s="1557"/>
      <c r="N264" s="1081"/>
      <c r="O264" s="1081"/>
      <c r="P264" s="1081"/>
      <c r="Q264" s="1081"/>
      <c r="R264" s="1557"/>
      <c r="S264" s="1081"/>
      <c r="T264" s="1081"/>
      <c r="U264" s="482"/>
      <c r="V264" s="1081"/>
      <c r="W264" s="1081"/>
      <c r="X264" s="1081"/>
      <c r="Y264" s="1081"/>
      <c r="Z264" s="1081"/>
      <c r="AA264" s="1553"/>
      <c r="AB264" s="504"/>
      <c r="AC264" s="504"/>
      <c r="AD264" s="504"/>
      <c r="AE264" s="504"/>
      <c r="AF264" s="1562">
        <v>11</v>
      </c>
    </row>
    <row r="265" spans="1:32" s="4299" customFormat="1" ht="11.45" customHeight="1">
      <c r="A265" s="913"/>
      <c r="B265" s="1557"/>
      <c r="C265" s="1557"/>
      <c r="D265" s="289"/>
      <c r="K265" s="1081"/>
      <c r="L265" s="1557"/>
      <c r="M265" s="1557"/>
      <c r="N265" s="1081"/>
      <c r="O265" s="1081"/>
      <c r="P265" s="1081"/>
      <c r="Q265" s="1081"/>
      <c r="R265" s="1557"/>
      <c r="S265" s="1081"/>
      <c r="T265" s="1081"/>
      <c r="U265" s="482"/>
      <c r="V265" s="1081"/>
      <c r="W265" s="1081"/>
      <c r="X265" s="1081"/>
      <c r="Y265" s="1081"/>
      <c r="Z265" s="1081"/>
      <c r="AA265" s="1553"/>
      <c r="AB265" s="504"/>
      <c r="AC265" s="504"/>
      <c r="AD265" s="504"/>
      <c r="AE265" s="504"/>
      <c r="AF265" s="1562">
        <v>11</v>
      </c>
    </row>
    <row r="266" spans="1:32" s="4299" customFormat="1" ht="11.45" customHeight="1">
      <c r="A266" s="913"/>
      <c r="B266" s="1557"/>
      <c r="C266" s="1557"/>
      <c r="D266" s="289"/>
      <c r="K266" s="1081"/>
      <c r="L266" s="1557"/>
      <c r="M266" s="1557"/>
      <c r="N266" s="1081"/>
      <c r="O266" s="1081"/>
      <c r="P266" s="1081"/>
      <c r="Q266" s="1081"/>
      <c r="R266" s="1557"/>
      <c r="S266" s="1081"/>
      <c r="T266" s="1081"/>
      <c r="U266" s="482"/>
      <c r="V266" s="1081"/>
      <c r="W266" s="1081"/>
      <c r="X266" s="1081"/>
      <c r="Y266" s="1081"/>
      <c r="Z266" s="1081"/>
      <c r="AA266" s="1553"/>
      <c r="AB266" s="504"/>
      <c r="AC266" s="504"/>
      <c r="AD266" s="504"/>
      <c r="AE266" s="504"/>
      <c r="AF266" s="1562">
        <v>11</v>
      </c>
    </row>
    <row r="267" spans="1:32" s="4299" customFormat="1" ht="11.45" customHeight="1">
      <c r="A267" s="913"/>
      <c r="B267" s="1557"/>
      <c r="C267" s="1557"/>
      <c r="D267" s="289"/>
      <c r="K267" s="1081"/>
      <c r="L267" s="1557"/>
      <c r="M267" s="1557"/>
      <c r="N267" s="1081"/>
      <c r="O267" s="1081"/>
      <c r="P267" s="1081"/>
      <c r="Q267" s="1081"/>
      <c r="R267" s="1557"/>
      <c r="S267" s="1081"/>
      <c r="T267" s="1081"/>
      <c r="U267" s="482"/>
      <c r="V267" s="1081"/>
      <c r="W267" s="1081"/>
      <c r="X267" s="1081"/>
      <c r="Y267" s="1081"/>
      <c r="Z267" s="1081"/>
      <c r="AA267" s="1553"/>
      <c r="AB267" s="504"/>
      <c r="AC267" s="504"/>
      <c r="AD267" s="504"/>
      <c r="AE267" s="504"/>
      <c r="AF267" s="1562">
        <v>11</v>
      </c>
    </row>
    <row r="268" spans="1:32" s="4299" customFormat="1" ht="11.45" customHeight="1">
      <c r="A268" s="913"/>
      <c r="B268" s="1557"/>
      <c r="C268" s="1557"/>
      <c r="D268" s="289"/>
      <c r="K268" s="1081"/>
      <c r="L268" s="1557"/>
      <c r="M268" s="1557"/>
      <c r="N268" s="1081"/>
      <c r="O268" s="1081"/>
      <c r="P268" s="1081"/>
      <c r="Q268" s="1081"/>
      <c r="R268" s="1557"/>
      <c r="S268" s="1081"/>
      <c r="T268" s="1081"/>
      <c r="U268" s="482"/>
      <c r="V268" s="1081"/>
      <c r="W268" s="1081"/>
      <c r="X268" s="1081"/>
      <c r="Y268" s="1081"/>
      <c r="Z268" s="1081"/>
      <c r="AA268" s="1553"/>
      <c r="AB268" s="504"/>
      <c r="AC268" s="504"/>
      <c r="AD268" s="504"/>
      <c r="AE268" s="504"/>
      <c r="AF268" s="1562">
        <v>11</v>
      </c>
    </row>
    <row r="269" spans="1:32" s="4299" customFormat="1" ht="11.45" customHeight="1">
      <c r="A269" s="913"/>
      <c r="B269" s="1557"/>
      <c r="C269" s="1557"/>
      <c r="D269" s="289"/>
      <c r="K269" s="1081"/>
      <c r="L269" s="1557"/>
      <c r="M269" s="1557"/>
      <c r="N269" s="1081"/>
      <c r="O269" s="1081"/>
      <c r="P269" s="1081"/>
      <c r="Q269" s="1081"/>
      <c r="R269" s="1557"/>
      <c r="S269" s="1081"/>
      <c r="T269" s="1081"/>
      <c r="U269" s="482"/>
      <c r="V269" s="1081"/>
      <c r="W269" s="1081"/>
      <c r="X269" s="1081"/>
      <c r="Y269" s="1081"/>
      <c r="Z269" s="1081"/>
      <c r="AA269" s="1553"/>
      <c r="AB269" s="504"/>
      <c r="AC269" s="504"/>
      <c r="AD269" s="504"/>
      <c r="AE269" s="504"/>
      <c r="AF269" s="1562">
        <v>11</v>
      </c>
    </row>
    <row r="270" spans="1:32" s="4299" customFormat="1" ht="11.45" customHeight="1">
      <c r="A270" s="913"/>
      <c r="B270" s="1557"/>
      <c r="C270" s="1557"/>
      <c r="D270" s="289"/>
      <c r="K270" s="1081"/>
      <c r="L270" s="1557"/>
      <c r="M270" s="1557"/>
      <c r="N270" s="1081"/>
      <c r="O270" s="1081"/>
      <c r="P270" s="1081"/>
      <c r="Q270" s="1081"/>
      <c r="R270" s="1557"/>
      <c r="S270" s="1081"/>
      <c r="T270" s="1081"/>
      <c r="U270" s="482"/>
      <c r="V270" s="1081"/>
      <c r="W270" s="1081"/>
      <c r="X270" s="1081"/>
      <c r="Y270" s="1081"/>
      <c r="Z270" s="1081"/>
      <c r="AA270" s="1553"/>
      <c r="AB270" s="504"/>
      <c r="AC270" s="504"/>
      <c r="AD270" s="504"/>
      <c r="AE270" s="504"/>
      <c r="AF270" s="1562">
        <v>11</v>
      </c>
    </row>
    <row r="271" spans="1:32" s="4299" customFormat="1" ht="11.45" customHeight="1">
      <c r="A271" s="913"/>
      <c r="B271" s="1557"/>
      <c r="C271" s="1557"/>
      <c r="D271" s="289"/>
      <c r="K271" s="1081"/>
      <c r="L271" s="1557"/>
      <c r="M271" s="1557"/>
      <c r="N271" s="1081"/>
      <c r="O271" s="1081"/>
      <c r="P271" s="1081"/>
      <c r="Q271" s="1081"/>
      <c r="R271" s="1557"/>
      <c r="S271" s="1081"/>
      <c r="T271" s="1081"/>
      <c r="U271" s="482"/>
      <c r="V271" s="1081"/>
      <c r="W271" s="1081"/>
      <c r="X271" s="1081"/>
      <c r="Y271" s="1081"/>
      <c r="Z271" s="1081"/>
      <c r="AA271" s="1553"/>
      <c r="AB271" s="504"/>
      <c r="AC271" s="504"/>
      <c r="AD271" s="504"/>
      <c r="AE271" s="504"/>
      <c r="AF271" s="1562">
        <v>11</v>
      </c>
    </row>
    <row r="272" spans="1:32" s="4299" customFormat="1" ht="11.45" customHeight="1">
      <c r="A272" s="913"/>
      <c r="B272" s="1557"/>
      <c r="C272" s="1557"/>
      <c r="D272" s="289"/>
      <c r="K272" s="1081"/>
      <c r="L272" s="1557"/>
      <c r="M272" s="1557"/>
      <c r="N272" s="1081"/>
      <c r="O272" s="1081"/>
      <c r="P272" s="1081"/>
      <c r="Q272" s="1081"/>
      <c r="R272" s="1557"/>
      <c r="S272" s="1081"/>
      <c r="T272" s="1081"/>
      <c r="U272" s="482"/>
      <c r="V272" s="1081"/>
      <c r="W272" s="1081"/>
      <c r="X272" s="1081"/>
      <c r="Y272" s="1081"/>
      <c r="Z272" s="1081"/>
      <c r="AA272" s="1553"/>
      <c r="AB272" s="504"/>
      <c r="AC272" s="504"/>
      <c r="AD272" s="504"/>
      <c r="AE272" s="504"/>
      <c r="AF272" s="1562">
        <v>11</v>
      </c>
    </row>
    <row r="273" spans="1:32" s="4299" customFormat="1" ht="11.45" customHeight="1">
      <c r="A273" s="913"/>
      <c r="B273" s="1557"/>
      <c r="C273" s="1557"/>
      <c r="D273" s="289"/>
      <c r="K273" s="1081"/>
      <c r="L273" s="1557"/>
      <c r="M273" s="1557"/>
      <c r="N273" s="1081"/>
      <c r="O273" s="1081"/>
      <c r="P273" s="1081"/>
      <c r="Q273" s="1081"/>
      <c r="R273" s="1557"/>
      <c r="S273" s="1081"/>
      <c r="T273" s="1081"/>
      <c r="U273" s="482"/>
      <c r="V273" s="1081"/>
      <c r="W273" s="1081"/>
      <c r="X273" s="1081"/>
      <c r="Y273" s="1081"/>
      <c r="Z273" s="1081"/>
      <c r="AA273" s="1553"/>
      <c r="AB273" s="504"/>
      <c r="AC273" s="504"/>
      <c r="AD273" s="504"/>
      <c r="AE273" s="504"/>
      <c r="AF273" s="1562">
        <v>11</v>
      </c>
    </row>
    <row r="274" spans="1:32" s="4299" customFormat="1" ht="11.45" customHeight="1">
      <c r="A274" s="913"/>
      <c r="B274" s="1557"/>
      <c r="C274" s="1557"/>
      <c r="D274" s="289"/>
      <c r="K274" s="1081"/>
      <c r="L274" s="1557"/>
      <c r="M274" s="1557"/>
      <c r="N274" s="1081"/>
      <c r="O274" s="1081"/>
      <c r="P274" s="1081"/>
      <c r="Q274" s="1081"/>
      <c r="R274" s="1557"/>
      <c r="S274" s="1081"/>
      <c r="T274" s="1081"/>
      <c r="U274" s="482"/>
      <c r="V274" s="1081"/>
      <c r="W274" s="1081"/>
      <c r="X274" s="1081"/>
      <c r="Y274" s="1081"/>
      <c r="Z274" s="1081"/>
      <c r="AA274" s="1553"/>
      <c r="AB274" s="504"/>
      <c r="AC274" s="504"/>
      <c r="AD274" s="504"/>
      <c r="AE274" s="504"/>
      <c r="AF274" s="1562">
        <v>11</v>
      </c>
    </row>
    <row r="275" spans="1:32" s="4299" customFormat="1" ht="11.45" customHeight="1">
      <c r="A275" s="913"/>
      <c r="B275" s="1557"/>
      <c r="C275" s="1557"/>
      <c r="D275" s="289"/>
      <c r="K275" s="1081"/>
      <c r="L275" s="1557"/>
      <c r="M275" s="1557"/>
      <c r="N275" s="1081"/>
      <c r="O275" s="1081"/>
      <c r="P275" s="1081"/>
      <c r="Q275" s="1081"/>
      <c r="R275" s="1557"/>
      <c r="S275" s="1081"/>
      <c r="T275" s="1081"/>
      <c r="U275" s="482"/>
      <c r="V275" s="1081"/>
      <c r="W275" s="1081"/>
      <c r="X275" s="1081"/>
      <c r="Y275" s="1081"/>
      <c r="Z275" s="1081"/>
      <c r="AA275" s="1553"/>
      <c r="AB275" s="504"/>
      <c r="AC275" s="504"/>
      <c r="AD275" s="504"/>
      <c r="AE275" s="504"/>
      <c r="AF275" s="1562">
        <v>11</v>
      </c>
    </row>
    <row r="276" spans="1:32" s="4299" customFormat="1" ht="11.45" customHeight="1">
      <c r="A276" s="913"/>
      <c r="B276" s="1557"/>
      <c r="C276" s="1557"/>
      <c r="D276" s="289"/>
      <c r="K276" s="1081"/>
      <c r="L276" s="1557"/>
      <c r="M276" s="1557"/>
      <c r="N276" s="1081"/>
      <c r="O276" s="1081"/>
      <c r="P276" s="1081"/>
      <c r="Q276" s="1081"/>
      <c r="R276" s="1557"/>
      <c r="S276" s="1081"/>
      <c r="T276" s="1081"/>
      <c r="U276" s="482"/>
      <c r="V276" s="1081"/>
      <c r="W276" s="1081"/>
      <c r="X276" s="1081"/>
      <c r="Y276" s="1081"/>
      <c r="Z276" s="1081"/>
      <c r="AA276" s="1553"/>
      <c r="AB276" s="504"/>
      <c r="AC276" s="504"/>
      <c r="AD276" s="504"/>
      <c r="AE276" s="504"/>
      <c r="AF276" s="1562">
        <v>11</v>
      </c>
    </row>
    <row r="277" spans="1:32" s="4299" customFormat="1" ht="11.45" customHeight="1">
      <c r="A277" s="913"/>
      <c r="B277" s="1557"/>
      <c r="C277" s="1557"/>
      <c r="D277" s="289"/>
      <c r="K277" s="1081"/>
      <c r="L277" s="1557"/>
      <c r="M277" s="1557"/>
      <c r="N277" s="1081"/>
      <c r="O277" s="1081"/>
      <c r="P277" s="1081"/>
      <c r="Q277" s="1081"/>
      <c r="R277" s="1557"/>
      <c r="S277" s="1081"/>
      <c r="T277" s="1081"/>
      <c r="U277" s="482"/>
      <c r="V277" s="1081"/>
      <c r="W277" s="1081"/>
      <c r="X277" s="1081"/>
      <c r="Y277" s="1081"/>
      <c r="Z277" s="1081"/>
      <c r="AA277" s="1553"/>
      <c r="AB277" s="504"/>
      <c r="AC277" s="504"/>
      <c r="AD277" s="504"/>
      <c r="AE277" s="504"/>
      <c r="AF277" s="1562">
        <v>11</v>
      </c>
    </row>
    <row r="278" spans="1:32" s="4299" customFormat="1" ht="11.45" customHeight="1">
      <c r="A278" s="913"/>
      <c r="B278" s="1557"/>
      <c r="C278" s="1557"/>
      <c r="D278" s="289"/>
      <c r="K278" s="1081"/>
      <c r="L278" s="1557"/>
      <c r="M278" s="1557"/>
      <c r="N278" s="1081"/>
      <c r="O278" s="1081"/>
      <c r="P278" s="1081"/>
      <c r="Q278" s="1081"/>
      <c r="R278" s="1557"/>
      <c r="S278" s="1081"/>
      <c r="T278" s="1081"/>
      <c r="U278" s="482"/>
      <c r="V278" s="1081"/>
      <c r="W278" s="1081"/>
      <c r="X278" s="1081"/>
      <c r="Y278" s="1081"/>
      <c r="Z278" s="1081"/>
      <c r="AA278" s="1553"/>
      <c r="AB278" s="504"/>
      <c r="AC278" s="504"/>
      <c r="AD278" s="504"/>
      <c r="AE278" s="504"/>
      <c r="AF278" s="1562">
        <v>11</v>
      </c>
    </row>
    <row r="279" spans="1:32" s="4299" customFormat="1" ht="11.45" customHeight="1">
      <c r="A279" s="913"/>
      <c r="B279" s="1557"/>
      <c r="C279" s="1557"/>
      <c r="D279" s="289"/>
      <c r="K279" s="1081"/>
      <c r="L279" s="1557"/>
      <c r="M279" s="1557"/>
      <c r="N279" s="1081"/>
      <c r="O279" s="1081"/>
      <c r="P279" s="1081"/>
      <c r="Q279" s="1081"/>
      <c r="R279" s="1557"/>
      <c r="S279" s="1081"/>
      <c r="T279" s="1081"/>
      <c r="U279" s="482"/>
      <c r="V279" s="1081"/>
      <c r="W279" s="1081"/>
      <c r="X279" s="1081"/>
      <c r="Y279" s="1081"/>
      <c r="Z279" s="1081"/>
      <c r="AA279" s="1553"/>
      <c r="AB279" s="504"/>
      <c r="AC279" s="504"/>
      <c r="AD279" s="504"/>
      <c r="AE279" s="504"/>
      <c r="AF279" s="1562">
        <v>11</v>
      </c>
    </row>
    <row r="280" spans="1:32" s="4299" customFormat="1" ht="11.45" customHeight="1">
      <c r="A280" s="913"/>
      <c r="B280" s="1557"/>
      <c r="C280" s="1557"/>
      <c r="D280" s="289"/>
      <c r="K280" s="1081"/>
      <c r="L280" s="1557"/>
      <c r="M280" s="1557"/>
      <c r="N280" s="1081"/>
      <c r="O280" s="1081"/>
      <c r="P280" s="1081"/>
      <c r="Q280" s="1081"/>
      <c r="R280" s="1557"/>
      <c r="S280" s="1081"/>
      <c r="T280" s="1081"/>
      <c r="U280" s="482"/>
      <c r="V280" s="1081"/>
      <c r="W280" s="1081"/>
      <c r="X280" s="1081"/>
      <c r="Y280" s="1081"/>
      <c r="Z280" s="1081"/>
      <c r="AA280" s="1553"/>
      <c r="AB280" s="504"/>
      <c r="AC280" s="504"/>
      <c r="AD280" s="504"/>
      <c r="AE280" s="504"/>
      <c r="AF280" s="1562">
        <v>11</v>
      </c>
    </row>
    <row r="281" spans="1:32" s="4299" customFormat="1" ht="11.45" customHeight="1">
      <c r="A281" s="913"/>
      <c r="B281" s="1557"/>
      <c r="C281" s="1557"/>
      <c r="D281" s="289"/>
      <c r="K281" s="1081"/>
      <c r="L281" s="1557"/>
      <c r="M281" s="1557"/>
      <c r="N281" s="1081"/>
      <c r="O281" s="1081"/>
      <c r="P281" s="1081"/>
      <c r="Q281" s="1081"/>
      <c r="R281" s="1557"/>
      <c r="S281" s="1081"/>
      <c r="T281" s="1081"/>
      <c r="U281" s="482"/>
      <c r="V281" s="1081"/>
      <c r="W281" s="1081"/>
      <c r="X281" s="1081"/>
      <c r="Y281" s="1081"/>
      <c r="Z281" s="1081"/>
      <c r="AA281" s="1553"/>
      <c r="AB281" s="504"/>
      <c r="AC281" s="504"/>
      <c r="AD281" s="504"/>
      <c r="AE281" s="504"/>
      <c r="AF281" s="1562">
        <v>11</v>
      </c>
    </row>
    <row r="282" spans="1:32" s="4299" customFormat="1" ht="11.45" customHeight="1">
      <c r="A282" s="913"/>
      <c r="B282" s="1557"/>
      <c r="C282" s="1557"/>
      <c r="D282" s="289"/>
      <c r="K282" s="1081"/>
      <c r="L282" s="1557"/>
      <c r="M282" s="1557"/>
      <c r="N282" s="1081"/>
      <c r="O282" s="1081"/>
      <c r="P282" s="1081"/>
      <c r="Q282" s="1081"/>
      <c r="R282" s="1557"/>
      <c r="S282" s="1081"/>
      <c r="T282" s="1081"/>
      <c r="U282" s="482"/>
      <c r="V282" s="1081"/>
      <c r="W282" s="1081"/>
      <c r="X282" s="1081"/>
      <c r="Y282" s="1081"/>
      <c r="Z282" s="1081"/>
      <c r="AA282" s="1553"/>
      <c r="AB282" s="504"/>
      <c r="AC282" s="504"/>
      <c r="AD282" s="504"/>
      <c r="AE282" s="504"/>
      <c r="AF282" s="1562">
        <v>11</v>
      </c>
    </row>
    <row r="283" spans="1:32" s="4299" customFormat="1" ht="11.45" customHeight="1">
      <c r="A283" s="913"/>
      <c r="B283" s="1557"/>
      <c r="C283" s="1557"/>
      <c r="D283" s="289"/>
      <c r="K283" s="1081"/>
      <c r="L283" s="1557"/>
      <c r="M283" s="1557"/>
      <c r="N283" s="1081"/>
      <c r="O283" s="1081"/>
      <c r="P283" s="1081"/>
      <c r="Q283" s="1081"/>
      <c r="R283" s="1557"/>
      <c r="S283" s="1081"/>
      <c r="T283" s="1081"/>
      <c r="U283" s="482"/>
      <c r="V283" s="1081"/>
      <c r="W283" s="1081"/>
      <c r="X283" s="1081"/>
      <c r="Y283" s="1081"/>
      <c r="Z283" s="1081"/>
      <c r="AA283" s="1553"/>
      <c r="AB283" s="504"/>
      <c r="AC283" s="504"/>
      <c r="AD283" s="504"/>
      <c r="AE283" s="504"/>
      <c r="AF283" s="1562">
        <v>11</v>
      </c>
    </row>
    <row r="284" spans="1:32" s="4299" customFormat="1" ht="11.45" customHeight="1">
      <c r="A284" s="913"/>
      <c r="B284" s="1557"/>
      <c r="C284" s="1557"/>
      <c r="D284" s="289"/>
      <c r="K284" s="1081"/>
      <c r="L284" s="1557"/>
      <c r="M284" s="1557"/>
      <c r="N284" s="1081"/>
      <c r="O284" s="1081"/>
      <c r="P284" s="1081"/>
      <c r="Q284" s="1081"/>
      <c r="R284" s="1557"/>
      <c r="S284" s="1081"/>
      <c r="T284" s="1081"/>
      <c r="U284" s="482"/>
      <c r="V284" s="1081"/>
      <c r="W284" s="1081"/>
      <c r="X284" s="1081"/>
      <c r="Y284" s="1081"/>
      <c r="Z284" s="1081"/>
      <c r="AA284" s="1553"/>
      <c r="AB284" s="504"/>
      <c r="AC284" s="504"/>
      <c r="AD284" s="504"/>
      <c r="AE284" s="504"/>
      <c r="AF284" s="1562">
        <v>11</v>
      </c>
    </row>
    <row r="285" spans="1:32" s="4299" customFormat="1" ht="11.45" customHeight="1">
      <c r="A285" s="913"/>
      <c r="B285" s="1557"/>
      <c r="C285" s="1557"/>
      <c r="D285" s="289"/>
      <c r="K285" s="1081"/>
      <c r="L285" s="1557"/>
      <c r="M285" s="1557"/>
      <c r="N285" s="1081"/>
      <c r="O285" s="1081"/>
      <c r="P285" s="1081"/>
      <c r="Q285" s="1081"/>
      <c r="R285" s="1557"/>
      <c r="S285" s="1081"/>
      <c r="T285" s="1081"/>
      <c r="U285" s="482"/>
      <c r="V285" s="1081"/>
      <c r="W285" s="1081"/>
      <c r="X285" s="1081"/>
      <c r="Y285" s="1081"/>
      <c r="Z285" s="1081"/>
      <c r="AA285" s="1553"/>
      <c r="AB285" s="504"/>
      <c r="AC285" s="504"/>
      <c r="AD285" s="504"/>
      <c r="AE285" s="504"/>
      <c r="AF285" s="1562">
        <v>11</v>
      </c>
    </row>
    <row r="286" spans="1:32" s="4299" customFormat="1" ht="11.45" customHeight="1">
      <c r="A286" s="913"/>
      <c r="B286" s="1557"/>
      <c r="C286" s="1557"/>
      <c r="D286" s="289"/>
      <c r="K286" s="1081"/>
      <c r="L286" s="1557"/>
      <c r="M286" s="1557"/>
      <c r="N286" s="1081"/>
      <c r="O286" s="1081"/>
      <c r="P286" s="1081"/>
      <c r="Q286" s="1081"/>
      <c r="R286" s="1557"/>
      <c r="S286" s="1081"/>
      <c r="T286" s="1081"/>
      <c r="U286" s="482"/>
      <c r="V286" s="1081"/>
      <c r="W286" s="1081"/>
      <c r="X286" s="1081"/>
      <c r="Y286" s="1081"/>
      <c r="Z286" s="1081"/>
      <c r="AA286" s="1553"/>
      <c r="AB286" s="504"/>
      <c r="AC286" s="504"/>
      <c r="AD286" s="504"/>
      <c r="AE286" s="504"/>
      <c r="AF286" s="1562">
        <v>11</v>
      </c>
    </row>
    <row r="287" spans="1:32" s="4299" customFormat="1" ht="11.45" customHeight="1">
      <c r="A287" s="913"/>
      <c r="B287" s="1557"/>
      <c r="C287" s="1557"/>
      <c r="D287" s="289"/>
      <c r="K287" s="1081"/>
      <c r="L287" s="1557"/>
      <c r="M287" s="1557"/>
      <c r="N287" s="1081"/>
      <c r="O287" s="1081"/>
      <c r="P287" s="1081"/>
      <c r="Q287" s="1081"/>
      <c r="R287" s="1557"/>
      <c r="S287" s="1081"/>
      <c r="T287" s="1081"/>
      <c r="U287" s="482"/>
      <c r="V287" s="1081"/>
      <c r="W287" s="1081"/>
      <c r="X287" s="1081"/>
      <c r="Y287" s="1081"/>
      <c r="Z287" s="1081"/>
      <c r="AA287" s="1553"/>
      <c r="AB287" s="504"/>
      <c r="AC287" s="504"/>
      <c r="AD287" s="504"/>
      <c r="AE287" s="504"/>
      <c r="AF287" s="1562">
        <v>11</v>
      </c>
    </row>
    <row r="288" spans="1:32" s="4299" customFormat="1" ht="11.45" customHeight="1">
      <c r="A288" s="913"/>
      <c r="B288" s="1557"/>
      <c r="C288" s="1557"/>
      <c r="D288" s="289"/>
      <c r="K288" s="1081"/>
      <c r="L288" s="1557"/>
      <c r="M288" s="1557"/>
      <c r="N288" s="1081"/>
      <c r="O288" s="1081"/>
      <c r="P288" s="1081"/>
      <c r="Q288" s="1081"/>
      <c r="R288" s="1557"/>
      <c r="S288" s="1081"/>
      <c r="T288" s="1081"/>
      <c r="U288" s="482"/>
      <c r="V288" s="1081"/>
      <c r="W288" s="1081"/>
      <c r="X288" s="1081"/>
      <c r="Y288" s="1081"/>
      <c r="Z288" s="1081"/>
      <c r="AA288" s="1553"/>
      <c r="AB288" s="504"/>
      <c r="AC288" s="504"/>
      <c r="AD288" s="504"/>
      <c r="AE288" s="504"/>
      <c r="AF288" s="1562">
        <v>11</v>
      </c>
    </row>
    <row r="289" spans="1:32" ht="11.45" customHeight="1">
      <c r="AF289" s="1552">
        <v>11</v>
      </c>
    </row>
    <row r="290" spans="1:32" ht="11.45" customHeight="1">
      <c r="AF290" s="1552">
        <v>11</v>
      </c>
    </row>
    <row r="291" spans="1:32" ht="11.45" customHeight="1">
      <c r="AF291" s="1552">
        <v>11</v>
      </c>
    </row>
    <row r="292" spans="1:32" ht="11.45" customHeight="1">
      <c r="A292" s="916"/>
      <c r="B292" s="1552"/>
      <c r="D292" s="1552"/>
      <c r="K292" s="1552"/>
      <c r="N292" s="1552"/>
      <c r="O292" s="1552"/>
      <c r="P292" s="1552"/>
      <c r="Q292" s="1552"/>
      <c r="S292" s="1552"/>
      <c r="T292" s="1552"/>
      <c r="U292" s="1552"/>
      <c r="V292" s="1552"/>
      <c r="W292" s="1552"/>
      <c r="X292" s="1552"/>
      <c r="Y292" s="1552"/>
      <c r="Z292" s="1552"/>
      <c r="AA292" s="1552"/>
      <c r="AB292" s="1552"/>
      <c r="AC292" s="1552"/>
      <c r="AD292" s="1552"/>
      <c r="AE292" s="1552"/>
      <c r="AF292" s="1552">
        <v>11</v>
      </c>
    </row>
    <row r="293" spans="1:32" ht="11.45" customHeight="1">
      <c r="A293" s="916"/>
      <c r="B293" s="1552"/>
      <c r="D293" s="1552"/>
      <c r="K293" s="1552"/>
      <c r="N293" s="1552"/>
      <c r="O293" s="1552"/>
      <c r="P293" s="1552"/>
      <c r="Q293" s="1552"/>
      <c r="S293" s="1552"/>
      <c r="T293" s="1552"/>
      <c r="U293" s="1552"/>
      <c r="V293" s="1552"/>
      <c r="W293" s="1552"/>
      <c r="X293" s="1552"/>
      <c r="Y293" s="1552"/>
      <c r="Z293" s="1552"/>
      <c r="AA293" s="1552"/>
      <c r="AB293" s="1552"/>
      <c r="AC293" s="1552"/>
      <c r="AD293" s="1552"/>
      <c r="AE293" s="1552"/>
      <c r="AF293" s="1552">
        <v>11</v>
      </c>
    </row>
    <row r="294" spans="1:32" ht="11.45" customHeight="1">
      <c r="A294" s="916"/>
      <c r="B294" s="1552"/>
      <c r="D294" s="1552"/>
      <c r="K294" s="1552"/>
      <c r="N294" s="1552"/>
      <c r="O294" s="1552"/>
      <c r="P294" s="1552"/>
      <c r="Q294" s="1552"/>
      <c r="S294" s="1552"/>
      <c r="T294" s="1552"/>
      <c r="U294" s="1552"/>
      <c r="V294" s="1552"/>
      <c r="W294" s="1552"/>
      <c r="X294" s="1552"/>
      <c r="Y294" s="1552"/>
      <c r="Z294" s="1552"/>
      <c r="AA294" s="1552"/>
      <c r="AB294" s="1552"/>
      <c r="AC294" s="1552"/>
      <c r="AD294" s="1552"/>
      <c r="AE294" s="1552"/>
      <c r="AF294" s="1552">
        <v>11</v>
      </c>
    </row>
    <row r="295" spans="1:32" ht="11.45" customHeight="1">
      <c r="A295" s="916"/>
      <c r="B295" s="1552"/>
      <c r="D295" s="1552"/>
      <c r="K295" s="1552"/>
      <c r="N295" s="1552"/>
      <c r="O295" s="1552"/>
      <c r="P295" s="1552"/>
      <c r="Q295" s="1552"/>
      <c r="S295" s="1552"/>
      <c r="T295" s="1552"/>
      <c r="U295" s="1552"/>
      <c r="V295" s="1552"/>
      <c r="W295" s="1552"/>
      <c r="X295" s="1552"/>
      <c r="Y295" s="1552"/>
      <c r="Z295" s="1552"/>
      <c r="AA295" s="1552"/>
      <c r="AB295" s="1552"/>
      <c r="AC295" s="1552"/>
      <c r="AD295" s="1552"/>
      <c r="AE295" s="1552"/>
      <c r="AF295" s="1552">
        <v>11</v>
      </c>
    </row>
    <row r="296" spans="1:32" ht="11.45" customHeight="1">
      <c r="A296" s="916"/>
      <c r="B296" s="1552"/>
      <c r="D296" s="1552"/>
      <c r="K296" s="1552"/>
      <c r="N296" s="1552"/>
      <c r="O296" s="1552"/>
      <c r="P296" s="1552"/>
      <c r="Q296" s="1552"/>
      <c r="S296" s="1552"/>
      <c r="T296" s="1552"/>
      <c r="U296" s="1552"/>
      <c r="V296" s="1552"/>
      <c r="W296" s="1552"/>
      <c r="X296" s="1552"/>
      <c r="Y296" s="1552"/>
      <c r="Z296" s="1552"/>
      <c r="AA296" s="1552"/>
      <c r="AB296" s="1552"/>
      <c r="AC296" s="1552"/>
      <c r="AD296" s="1552"/>
      <c r="AE296" s="1552"/>
      <c r="AF296" s="1552">
        <v>11</v>
      </c>
    </row>
    <row r="297" spans="1:32" ht="11.45" customHeight="1">
      <c r="A297" s="916"/>
      <c r="B297" s="1552"/>
      <c r="D297" s="1552"/>
      <c r="K297" s="1552"/>
      <c r="N297" s="1552"/>
      <c r="O297" s="1552"/>
      <c r="P297" s="1552"/>
      <c r="Q297" s="1552"/>
      <c r="S297" s="1552"/>
      <c r="T297" s="1552"/>
      <c r="U297" s="1552"/>
      <c r="V297" s="1552"/>
      <c r="W297" s="1552"/>
      <c r="X297" s="1552"/>
      <c r="Y297" s="1552"/>
      <c r="Z297" s="1552"/>
      <c r="AA297" s="1552"/>
      <c r="AB297" s="1552"/>
      <c r="AC297" s="1552"/>
      <c r="AD297" s="1552"/>
      <c r="AE297" s="1552"/>
      <c r="AF297" s="1552">
        <v>11</v>
      </c>
    </row>
    <row r="298" spans="1:32" ht="11.45" customHeight="1">
      <c r="A298" s="916"/>
      <c r="B298" s="1552"/>
      <c r="D298" s="1552"/>
      <c r="K298" s="1552"/>
      <c r="N298" s="1552"/>
      <c r="O298" s="1552"/>
      <c r="P298" s="1552"/>
      <c r="Q298" s="1552"/>
      <c r="S298" s="1552"/>
      <c r="T298" s="1552"/>
      <c r="U298" s="1552"/>
      <c r="V298" s="1552"/>
      <c r="W298" s="1552"/>
      <c r="X298" s="1552"/>
      <c r="Y298" s="1552"/>
      <c r="Z298" s="1552"/>
      <c r="AA298" s="1552"/>
      <c r="AB298" s="1552"/>
      <c r="AC298" s="1552"/>
      <c r="AD298" s="1552"/>
      <c r="AE298" s="1552"/>
      <c r="AF298" s="1552">
        <v>11</v>
      </c>
    </row>
    <row r="299" spans="1:32" ht="11.45" customHeight="1">
      <c r="A299" s="916"/>
      <c r="B299" s="1552"/>
      <c r="D299" s="1552"/>
      <c r="K299" s="1552"/>
      <c r="N299" s="1552"/>
      <c r="O299" s="1552"/>
      <c r="P299" s="1552"/>
      <c r="Q299" s="1552"/>
      <c r="S299" s="1552"/>
      <c r="T299" s="1552"/>
      <c r="U299" s="1552"/>
      <c r="V299" s="1552"/>
      <c r="W299" s="1552"/>
      <c r="X299" s="1552"/>
      <c r="Y299" s="1552"/>
      <c r="Z299" s="1552"/>
      <c r="AA299" s="1552"/>
      <c r="AB299" s="1552"/>
      <c r="AC299" s="1552"/>
      <c r="AD299" s="1552"/>
      <c r="AE299" s="1552"/>
      <c r="AF299" s="1552">
        <v>11</v>
      </c>
    </row>
    <row r="300" spans="1:32" ht="11.45" customHeight="1">
      <c r="A300" s="916"/>
      <c r="B300" s="1552"/>
      <c r="D300" s="1552"/>
      <c r="K300" s="1552"/>
      <c r="N300" s="1552"/>
      <c r="O300" s="1552"/>
      <c r="P300" s="1552"/>
      <c r="Q300" s="1552"/>
      <c r="S300" s="1552"/>
      <c r="T300" s="1552"/>
      <c r="U300" s="1552"/>
      <c r="V300" s="1552"/>
      <c r="W300" s="1552"/>
      <c r="X300" s="1552"/>
      <c r="Y300" s="1552"/>
      <c r="Z300" s="1552"/>
      <c r="AA300" s="1552"/>
      <c r="AB300" s="1552"/>
      <c r="AC300" s="1552"/>
      <c r="AD300" s="1552"/>
      <c r="AE300" s="1552"/>
      <c r="AF300" s="1552">
        <v>11</v>
      </c>
    </row>
    <row r="301" spans="1:32" ht="11.45" customHeight="1">
      <c r="A301" s="916"/>
      <c r="B301" s="1552"/>
      <c r="D301" s="1552"/>
      <c r="K301" s="1552"/>
      <c r="N301" s="1552"/>
      <c r="O301" s="1552"/>
      <c r="P301" s="1552"/>
      <c r="Q301" s="1552"/>
      <c r="S301" s="1552"/>
      <c r="T301" s="1552"/>
      <c r="U301" s="1552"/>
      <c r="V301" s="1552"/>
      <c r="W301" s="1552"/>
      <c r="X301" s="1552"/>
      <c r="Y301" s="1552"/>
      <c r="Z301" s="1552"/>
      <c r="AA301" s="1552"/>
      <c r="AB301" s="1552"/>
      <c r="AC301" s="1552"/>
      <c r="AD301" s="1552"/>
      <c r="AE301" s="1552"/>
      <c r="AF301" s="1552">
        <v>11</v>
      </c>
    </row>
    <row r="302" spans="1:32" ht="11.45" customHeight="1">
      <c r="A302" s="916"/>
      <c r="B302" s="1552"/>
      <c r="D302" s="1552"/>
      <c r="K302" s="1552"/>
      <c r="N302" s="1552"/>
      <c r="O302" s="1552"/>
      <c r="P302" s="1552"/>
      <c r="Q302" s="1552"/>
      <c r="S302" s="1552"/>
      <c r="T302" s="1552"/>
      <c r="U302" s="1552"/>
      <c r="V302" s="1552"/>
      <c r="W302" s="1552"/>
      <c r="X302" s="1552"/>
      <c r="Y302" s="1552"/>
      <c r="Z302" s="1552"/>
      <c r="AA302" s="1552"/>
      <c r="AB302" s="1552"/>
      <c r="AC302" s="1552"/>
      <c r="AD302" s="1552"/>
      <c r="AE302" s="1552"/>
      <c r="AF302" s="1552">
        <v>11</v>
      </c>
    </row>
    <row r="303" spans="1:32" ht="11.25" hidden="1" customHeight="1">
      <c r="A303" s="913" t="s">
        <v>82</v>
      </c>
      <c r="B303" s="1081">
        <v>0</v>
      </c>
      <c r="C303" s="1557">
        <v>0</v>
      </c>
      <c r="D303" s="1556">
        <v>3</v>
      </c>
      <c r="E303" s="1552">
        <v>7</v>
      </c>
      <c r="F303" s="1552">
        <v>54</v>
      </c>
      <c r="G303" s="1552">
        <v>10</v>
      </c>
      <c r="H303" s="1552">
        <v>0</v>
      </c>
      <c r="I303" s="1552">
        <v>40</v>
      </c>
      <c r="J303" s="1552">
        <v>102</v>
      </c>
      <c r="K303" s="1081">
        <v>9</v>
      </c>
      <c r="L303" s="1557">
        <v>5</v>
      </c>
      <c r="M303" s="1557">
        <v>3</v>
      </c>
      <c r="N303" s="1081">
        <v>3</v>
      </c>
      <c r="O303" s="1081">
        <v>3</v>
      </c>
      <c r="P303" s="1081">
        <v>3</v>
      </c>
      <c r="Q303" s="1081">
        <v>3</v>
      </c>
      <c r="R303" s="1557">
        <v>10</v>
      </c>
      <c r="S303" s="1081">
        <v>34</v>
      </c>
      <c r="T303" s="1081">
        <v>9</v>
      </c>
      <c r="U303" s="482">
        <v>8</v>
      </c>
      <c r="V303" s="1081">
        <v>8</v>
      </c>
      <c r="W303" s="1081">
        <v>8</v>
      </c>
      <c r="X303" s="1081">
        <v>8</v>
      </c>
      <c r="Y303" s="1081">
        <v>8</v>
      </c>
      <c r="Z303" s="1081">
        <v>8</v>
      </c>
      <c r="AA303" s="1553">
        <v>8</v>
      </c>
      <c r="AB303" s="1553">
        <v>8</v>
      </c>
      <c r="AC303" s="1553">
        <v>8</v>
      </c>
      <c r="AD303" s="1553">
        <v>8</v>
      </c>
      <c r="AE303" s="1553">
        <v>8</v>
      </c>
      <c r="AF303" s="1552">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5258" hidden="1" customWidth="1"/>
    <col min="2" max="2" width="17" style="4265" hidden="1" customWidth="1"/>
    <col min="3" max="3" width="3" style="4267" customWidth="1"/>
    <col min="4" max="4" width="1.85546875" style="4267" hidden="1" customWidth="1"/>
    <col min="5" max="6" width="7" style="4267" customWidth="1"/>
    <col min="7" max="7" width="29" style="4267" customWidth="1"/>
    <col min="8" max="8" width="3.7109375" style="4267" customWidth="1"/>
    <col min="9" max="9" width="5" style="4267" customWidth="1"/>
    <col min="10" max="11" width="24" style="4267" customWidth="1"/>
    <col min="12" max="12" width="3" style="4267" customWidth="1"/>
    <col min="13" max="13" width="6" style="4267" customWidth="1"/>
    <col min="14" max="14" width="25" style="4267" customWidth="1"/>
    <col min="15" max="18" width="18" style="4267" customWidth="1"/>
    <col min="19" max="19" width="93" style="4267" customWidth="1"/>
    <col min="20" max="20" width="10" style="4267" customWidth="1"/>
    <col min="21" max="21" width="10" style="4275" customWidth="1"/>
    <col min="22" max="22" width="11" style="4275" customWidth="1"/>
    <col min="23" max="27" width="10" style="4265" customWidth="1"/>
    <col min="28" max="83" width="8" style="4267" customWidth="1"/>
    <col min="84" max="84" width="9.140625" style="4267"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2"/>
      <c r="E5" s="545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5450"/>
      <c r="G5" s="5450"/>
      <c r="H5" s="5450"/>
      <c r="I5" s="5450"/>
      <c r="J5" s="5450"/>
      <c r="K5" s="5450"/>
      <c r="L5" s="551"/>
      <c r="M5" s="551"/>
      <c r="CF5" s="443">
        <v>28</v>
      </c>
    </row>
    <row r="6" spans="1:84" s="4267" customFormat="1" ht="16.899999999999999" customHeight="1">
      <c r="A6" s="548"/>
      <c r="B6" s="695"/>
      <c r="C6" s="447"/>
      <c r="D6" s="983"/>
      <c r="E6" s="5423" t="str">
        <f>IF(org=0,"Не определено",org)</f>
        <v>КГУП "Примтеплоэнерго"</v>
      </c>
      <c r="F6" s="5423"/>
      <c r="G6" s="5423"/>
      <c r="H6" s="5423"/>
      <c r="I6" s="5423"/>
      <c r="J6" s="5423"/>
      <c r="K6" s="5423"/>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4299" customFormat="1" ht="4.1500000000000004" customHeight="1">
      <c r="A8" s="559"/>
      <c r="B8" s="504"/>
      <c r="C8" s="289"/>
      <c r="D8" s="289"/>
      <c r="E8" s="289"/>
      <c r="F8" s="289"/>
      <c r="G8" s="902"/>
      <c r="H8" s="902"/>
      <c r="I8" s="902"/>
      <c r="J8" s="902"/>
      <c r="K8" s="943"/>
      <c r="L8" s="943"/>
      <c r="M8" s="943"/>
      <c r="R8" s="944"/>
      <c r="U8" s="549"/>
      <c r="V8" s="549"/>
      <c r="W8" s="560"/>
      <c r="X8" s="504"/>
      <c r="Y8" s="504"/>
      <c r="Z8" s="504"/>
      <c r="AA8" s="504"/>
      <c r="CF8" s="434">
        <v>4</v>
      </c>
    </row>
    <row r="9" spans="1:84" ht="19.899999999999999" customHeight="1">
      <c r="D9" s="227"/>
      <c r="E9" s="5309" t="s">
        <v>393</v>
      </c>
      <c r="F9" s="5314"/>
      <c r="G9" s="5314"/>
      <c r="H9" s="5314"/>
      <c r="I9" s="5314"/>
      <c r="J9" s="5314"/>
      <c r="K9" s="5314"/>
      <c r="L9" s="5314"/>
      <c r="M9" s="5314"/>
      <c r="N9" s="5314"/>
      <c r="O9" s="5314"/>
      <c r="P9" s="5314"/>
      <c r="Q9" s="5314"/>
      <c r="R9" s="5308"/>
      <c r="S9" s="5328" t="s">
        <v>394</v>
      </c>
      <c r="T9" s="272"/>
      <c r="CF9" s="443">
        <v>19</v>
      </c>
    </row>
    <row r="10" spans="1:84" ht="48.2" customHeight="1">
      <c r="D10" s="489" t="s">
        <v>88</v>
      </c>
      <c r="E10" s="5328" t="s">
        <v>88</v>
      </c>
      <c r="F10" s="5328"/>
      <c r="G10" s="459" t="s">
        <v>395</v>
      </c>
      <c r="H10" s="5328" t="s">
        <v>88</v>
      </c>
      <c r="I10" s="5328"/>
      <c r="J10" s="459" t="s">
        <v>694</v>
      </c>
      <c r="K10" s="459" t="s">
        <v>695</v>
      </c>
      <c r="L10" s="5328" t="s">
        <v>88</v>
      </c>
      <c r="M10" s="5328"/>
      <c r="N10" s="459" t="s">
        <v>696</v>
      </c>
      <c r="O10" s="459" t="s">
        <v>697</v>
      </c>
      <c r="P10" s="459" t="s">
        <v>698</v>
      </c>
      <c r="Q10" s="459" t="s">
        <v>699</v>
      </c>
      <c r="R10" s="459" t="s">
        <v>700</v>
      </c>
      <c r="S10" s="5328"/>
      <c r="T10" s="272"/>
      <c r="CF10" s="443">
        <v>46</v>
      </c>
    </row>
    <row r="11" spans="1:84" s="4275" customFormat="1" ht="15" hidden="1" customHeight="1">
      <c r="A11" s="977"/>
      <c r="D11" s="950" t="s">
        <v>136</v>
      </c>
      <c r="E11" s="950"/>
      <c r="F11" s="950" t="s">
        <v>103</v>
      </c>
      <c r="G11" s="950" t="s">
        <v>90</v>
      </c>
      <c r="H11" s="950"/>
      <c r="I11" s="950" t="s">
        <v>91</v>
      </c>
      <c r="J11" s="950" t="s">
        <v>116</v>
      </c>
      <c r="K11" s="950" t="s">
        <v>92</v>
      </c>
      <c r="L11" s="950"/>
      <c r="M11" s="950" t="s">
        <v>93</v>
      </c>
      <c r="N11" s="950" t="s">
        <v>129</v>
      </c>
      <c r="O11" s="950" t="s">
        <v>134</v>
      </c>
      <c r="P11" s="950" t="s">
        <v>180</v>
      </c>
      <c r="Q11" s="950" t="s">
        <v>181</v>
      </c>
      <c r="R11" s="950" t="s">
        <v>182</v>
      </c>
      <c r="S11" s="950" t="s">
        <v>183</v>
      </c>
      <c r="U11" s="549"/>
      <c r="V11" s="549"/>
      <c r="W11" s="549"/>
      <c r="CF11" s="449">
        <v>0</v>
      </c>
    </row>
    <row r="12" spans="1:84" s="4267" customFormat="1" ht="1.1499999999999999" customHeight="1">
      <c r="A12" s="553"/>
      <c r="B12" s="300"/>
      <c r="D12" s="486"/>
      <c r="E12" s="284"/>
      <c r="F12" s="284"/>
      <c r="Q12" s="554"/>
      <c r="R12" s="555"/>
      <c r="T12" s="556"/>
      <c r="U12" s="557"/>
      <c r="V12" s="557"/>
      <c r="W12" s="558"/>
      <c r="X12" s="300"/>
      <c r="Y12" s="300"/>
      <c r="Z12" s="300"/>
      <c r="AA12" s="300"/>
      <c r="CF12" s="447">
        <v>1</v>
      </c>
    </row>
    <row r="13" spans="1:84" s="4299" customFormat="1" ht="1.1499999999999999" customHeight="1">
      <c r="A13" s="559"/>
      <c r="B13" s="504"/>
      <c r="D13" s="486" t="s">
        <v>469</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4278" customFormat="1" ht="15" hidden="1" customHeight="1">
      <c r="A14" s="561" t="s">
        <v>149</v>
      </c>
      <c r="B14" s="562"/>
      <c r="C14" s="562"/>
      <c r="D14" s="5563" t="s">
        <v>136</v>
      </c>
      <c r="E14" s="5570" t="s">
        <v>141</v>
      </c>
      <c r="F14" s="5571"/>
      <c r="G14" s="5572"/>
      <c r="H14" s="5566">
        <f>IF(A14="","",INDEX(DIFFERENTIATION_UNMERGE_VD,MATCH(A14,DIFFERENTIATION_ID_DIFF,0)))</f>
        <v>0</v>
      </c>
      <c r="I14" s="5566"/>
      <c r="J14" s="5566"/>
      <c r="K14" s="5566"/>
      <c r="L14" s="5566"/>
      <c r="M14" s="5566"/>
      <c r="N14" s="5566"/>
      <c r="O14" s="5566"/>
      <c r="P14" s="5566"/>
      <c r="Q14" s="5566"/>
      <c r="R14" s="5566"/>
      <c r="S14" s="657"/>
      <c r="T14" s="654"/>
      <c r="U14" s="563"/>
      <c r="V14" s="563"/>
      <c r="W14" s="564"/>
      <c r="X14" s="564"/>
      <c r="Y14" s="564"/>
      <c r="Z14" s="564"/>
      <c r="AA14" s="565"/>
      <c r="AB14" s="566"/>
      <c r="AC14" s="5569"/>
      <c r="AD14" s="567"/>
      <c r="AE14" s="568" t="s">
        <v>28</v>
      </c>
      <c r="AF14" s="568"/>
      <c r="AG14" s="569" t="s">
        <v>701</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4278" customFormat="1" ht="15" hidden="1" customHeight="1">
      <c r="A15" s="561"/>
      <c r="B15" s="562"/>
      <c r="C15" s="562"/>
      <c r="D15" s="5564"/>
      <c r="E15" s="5570" t="s">
        <v>656</v>
      </c>
      <c r="F15" s="5571"/>
      <c r="G15" s="5572"/>
      <c r="H15" s="5566" t="str">
        <f>IF(A14="","",INDEX(DIFFERENTIATION_UNMERGE_AREA,MATCH(A14,DIFFERENTIATION_ID_DIFF,0)))</f>
        <v/>
      </c>
      <c r="I15" s="5566"/>
      <c r="J15" s="5566"/>
      <c r="K15" s="5566"/>
      <c r="L15" s="5566"/>
      <c r="M15" s="5566"/>
      <c r="N15" s="5566"/>
      <c r="O15" s="5566"/>
      <c r="P15" s="5566"/>
      <c r="Q15" s="5566"/>
      <c r="R15" s="5566"/>
      <c r="S15" s="657"/>
      <c r="T15" s="654"/>
      <c r="U15" s="563"/>
      <c r="V15" s="563"/>
      <c r="W15" s="564"/>
      <c r="X15" s="564"/>
      <c r="Y15" s="564"/>
      <c r="Z15" s="564"/>
      <c r="AA15" s="565"/>
      <c r="AB15" s="566"/>
      <c r="AC15" s="5569"/>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4278" customFormat="1" ht="15" hidden="1" customHeight="1">
      <c r="A16" s="561"/>
      <c r="B16" s="562"/>
      <c r="C16" s="562"/>
      <c r="D16" s="5564"/>
      <c r="E16" s="5570" t="s">
        <v>657</v>
      </c>
      <c r="F16" s="5571"/>
      <c r="G16" s="5572"/>
      <c r="H16" s="5566" t="str">
        <f>IF(A14="","",INDEX(DIFFERENTIATION_UNMERGE_SYSTEM,MATCH(A14,DIFFERENTIATION_ID_DIFF,0)))</f>
        <v>без дифференциации</v>
      </c>
      <c r="I16" s="5566"/>
      <c r="J16" s="5566"/>
      <c r="K16" s="5566"/>
      <c r="L16" s="5566"/>
      <c r="M16" s="5566"/>
      <c r="N16" s="5566"/>
      <c r="O16" s="5566"/>
      <c r="P16" s="5566"/>
      <c r="Q16" s="5566"/>
      <c r="R16" s="5566"/>
      <c r="S16" s="657"/>
      <c r="T16" s="654"/>
      <c r="U16" s="563"/>
      <c r="V16" s="563"/>
      <c r="W16" s="564"/>
      <c r="X16" s="564"/>
      <c r="Y16" s="564"/>
      <c r="Z16" s="564"/>
      <c r="AA16" s="565"/>
      <c r="AB16" s="566"/>
      <c r="AC16" s="5569"/>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4278" customFormat="1" ht="22.5" hidden="1" customHeight="1">
      <c r="A17" s="571"/>
      <c r="B17" s="355"/>
      <c r="C17" s="350"/>
      <c r="D17" s="5564"/>
      <c r="E17" s="5568" t="s">
        <v>702</v>
      </c>
      <c r="F17" s="5568"/>
      <c r="G17" s="5568"/>
      <c r="H17" s="5568"/>
      <c r="I17" s="5568"/>
      <c r="J17" s="5568"/>
      <c r="K17" s="5568"/>
      <c r="L17" s="5568"/>
      <c r="M17" s="5568"/>
      <c r="N17" s="5568"/>
      <c r="O17" s="5568"/>
      <c r="P17" s="5568"/>
      <c r="Q17" s="496">
        <f>SUMIF(T18:T19,"i",Q18:Q19)</f>
        <v>0</v>
      </c>
      <c r="R17" s="942"/>
      <c r="S17" s="824" t="s">
        <v>703</v>
      </c>
      <c r="T17" s="655" t="s">
        <v>704</v>
      </c>
      <c r="U17" s="5473">
        <v>1</v>
      </c>
      <c r="V17" s="5473" t="str">
        <f>INDEX(B_FHD_FLAG_INDEX_1,1,MATCH(A14,B_FHD_FLAG_DIFFERENTIATION,0))</f>
        <v>отсутствует</v>
      </c>
      <c r="W17" s="355"/>
      <c r="X17" s="355"/>
      <c r="Y17" s="355"/>
      <c r="Z17" s="355"/>
      <c r="AA17" s="449"/>
      <c r="AB17" s="355"/>
      <c r="AC17" s="5569"/>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4278" customFormat="1" ht="11.25" hidden="1" customHeight="1">
      <c r="A18" s="572"/>
      <c r="B18" s="449"/>
      <c r="C18" s="449"/>
      <c r="D18" s="5564"/>
      <c r="E18" s="573"/>
      <c r="F18" s="573">
        <v>0</v>
      </c>
      <c r="G18" s="573"/>
      <c r="H18" s="573"/>
      <c r="I18" s="573"/>
      <c r="J18" s="573"/>
      <c r="K18" s="573"/>
      <c r="L18" s="573"/>
      <c r="M18" s="573"/>
      <c r="N18" s="573"/>
      <c r="O18" s="573"/>
      <c r="P18" s="573"/>
      <c r="Q18" s="573"/>
      <c r="R18" s="573"/>
      <c r="S18" s="574"/>
      <c r="T18" s="656"/>
      <c r="U18" s="5473"/>
      <c r="V18" s="5473"/>
      <c r="W18" s="449"/>
      <c r="X18" s="449"/>
      <c r="Y18" s="449"/>
      <c r="Z18" s="449"/>
      <c r="AA18" s="449"/>
      <c r="AB18" s="355"/>
      <c r="AC18" s="5569"/>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4278" customFormat="1" ht="11.25" hidden="1" customHeight="1">
      <c r="A19" s="571"/>
      <c r="B19" s="355"/>
      <c r="C19" s="350"/>
      <c r="D19" s="5564"/>
      <c r="E19" s="587" t="s">
        <v>28</v>
      </c>
      <c r="F19" s="588" t="s">
        <v>28</v>
      </c>
      <c r="G19" s="588" t="s">
        <v>28</v>
      </c>
      <c r="H19" s="589" t="s">
        <v>28</v>
      </c>
      <c r="I19" s="589"/>
      <c r="J19" s="589"/>
      <c r="K19" s="589"/>
      <c r="L19" s="589"/>
      <c r="M19" s="589"/>
      <c r="N19" s="589"/>
      <c r="O19" s="589"/>
      <c r="P19" s="589"/>
      <c r="Q19" s="589"/>
      <c r="R19" s="590"/>
      <c r="S19" s="945"/>
      <c r="T19" s="656"/>
      <c r="U19" s="5473"/>
      <c r="V19" s="5473"/>
      <c r="W19" s="355"/>
      <c r="X19" s="355"/>
      <c r="Y19" s="355"/>
      <c r="Z19" s="355"/>
      <c r="AA19" s="449"/>
      <c r="AB19" s="355"/>
      <c r="AC19" s="5569"/>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4278" customFormat="1" ht="22.5" hidden="1" customHeight="1">
      <c r="A20" s="571"/>
      <c r="B20" s="355"/>
      <c r="C20" s="350"/>
      <c r="D20" s="5564"/>
      <c r="E20" s="5568" t="s">
        <v>705</v>
      </c>
      <c r="F20" s="5568"/>
      <c r="G20" s="5568"/>
      <c r="H20" s="5568"/>
      <c r="I20" s="5568"/>
      <c r="J20" s="5568"/>
      <c r="K20" s="5568"/>
      <c r="L20" s="5568"/>
      <c r="M20" s="5568"/>
      <c r="N20" s="5568"/>
      <c r="O20" s="5568"/>
      <c r="P20" s="5568"/>
      <c r="Q20" s="496">
        <f>SUMIF(T21:T22,"i",Q21:Q22)</f>
        <v>0</v>
      </c>
      <c r="R20" s="942"/>
      <c r="S20" s="647" t="s">
        <v>706</v>
      </c>
      <c r="T20" s="655" t="s">
        <v>704</v>
      </c>
      <c r="U20" s="5473">
        <v>2</v>
      </c>
      <c r="V20" s="5473"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4278" customFormat="1" ht="11.25" hidden="1" customHeight="1">
      <c r="A21" s="646"/>
      <c r="B21" s="449"/>
      <c r="C21" s="449"/>
      <c r="D21" s="5564"/>
      <c r="E21" s="573"/>
      <c r="F21" s="573">
        <v>0</v>
      </c>
      <c r="G21" s="573"/>
      <c r="H21" s="573"/>
      <c r="I21" s="573"/>
      <c r="J21" s="573"/>
      <c r="K21" s="573"/>
      <c r="L21" s="573"/>
      <c r="M21" s="573"/>
      <c r="N21" s="573"/>
      <c r="O21" s="573"/>
      <c r="P21" s="573"/>
      <c r="Q21" s="573"/>
      <c r="R21" s="573"/>
      <c r="S21" s="574"/>
      <c r="T21" s="656"/>
      <c r="U21" s="5473"/>
      <c r="V21" s="5473"/>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4278" customFormat="1" ht="11.25" hidden="1" customHeight="1">
      <c r="A22" s="571"/>
      <c r="B22" s="355"/>
      <c r="C22" s="350"/>
      <c r="D22" s="5565"/>
      <c r="E22" s="587" t="s">
        <v>28</v>
      </c>
      <c r="F22" s="588" t="s">
        <v>28</v>
      </c>
      <c r="G22" s="588" t="s">
        <v>28</v>
      </c>
      <c r="H22" s="589" t="s">
        <v>28</v>
      </c>
      <c r="I22" s="589"/>
      <c r="J22" s="589"/>
      <c r="K22" s="589"/>
      <c r="L22" s="589"/>
      <c r="M22" s="589"/>
      <c r="N22" s="589"/>
      <c r="O22" s="589"/>
      <c r="P22" s="589"/>
      <c r="Q22" s="589"/>
      <c r="R22" s="590"/>
      <c r="S22" s="945"/>
      <c r="T22" s="656"/>
      <c r="U22" s="5473"/>
      <c r="V22" s="5473"/>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2"/>
      <c r="E23" s="972"/>
      <c r="F23" s="972"/>
      <c r="G23" s="972"/>
      <c r="H23" s="972"/>
      <c r="I23" s="972"/>
      <c r="J23" s="972"/>
      <c r="K23" s="972"/>
      <c r="L23" s="972"/>
      <c r="M23" s="972"/>
      <c r="N23" s="972"/>
      <c r="O23" s="972"/>
      <c r="P23" s="972"/>
      <c r="Q23" s="972"/>
      <c r="R23" s="972"/>
      <c r="S23" s="972"/>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5567"/>
      <c r="F27" s="5567"/>
      <c r="G27" s="5567"/>
      <c r="H27" s="5567"/>
      <c r="I27" s="5567"/>
      <c r="J27" s="5567"/>
      <c r="K27" s="5567"/>
      <c r="L27" s="5567"/>
      <c r="M27" s="5567"/>
      <c r="N27" s="5567"/>
      <c r="O27" s="5567"/>
      <c r="P27" s="5567"/>
      <c r="Q27" s="5567"/>
      <c r="R27" s="5567"/>
      <c r="CF27" s="443">
        <v>11</v>
      </c>
    </row>
    <row r="28" spans="1:84" ht="11.45" customHeight="1">
      <c r="F28" s="694"/>
      <c r="G28" s="694"/>
      <c r="CF28" s="443">
        <v>11</v>
      </c>
    </row>
    <row r="29" spans="1:84" ht="11.25" hidden="1" customHeight="1">
      <c r="A29" s="548" t="s">
        <v>82</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5256" hidden="1" customWidth="1"/>
    <col min="6" max="6" width="16.85546875" style="4274" hidden="1" customWidth="1"/>
    <col min="7" max="7" width="5.5703125" style="4275" hidden="1" customWidth="1"/>
    <col min="8" max="8" width="3" style="4267" customWidth="1"/>
    <col min="9" max="9" width="7" style="4267" customWidth="1"/>
    <col min="10" max="10" width="56" style="4267" customWidth="1"/>
    <col min="11" max="11" width="10" style="4267" customWidth="1"/>
    <col min="12" max="12" width="40.5703125" style="4267" hidden="1" customWidth="1"/>
    <col min="13" max="13" width="40.7109375" style="4267" customWidth="1"/>
    <col min="14" max="14" width="9.7109375" style="4274" hidden="1" customWidth="1"/>
    <col min="15" max="15" width="102" style="4267" customWidth="1"/>
    <col min="16" max="16" width="9" style="4274" customWidth="1"/>
    <col min="17" max="17" width="5" style="4275" customWidth="1"/>
    <col min="18" max="18" width="3" style="4275" customWidth="1"/>
    <col min="19" max="22" width="3" style="4274" customWidth="1"/>
    <col min="23" max="23" width="10" style="4275" customWidth="1"/>
    <col min="24" max="24" width="34" style="4274" customWidth="1"/>
    <col min="25" max="25" width="9" style="4274" customWidth="1"/>
    <col min="26" max="26" width="8" style="5257" customWidth="1"/>
    <col min="27" max="31" width="8" style="4274" customWidth="1"/>
    <col min="32" max="36" width="8" style="4265" customWidth="1"/>
    <col min="37" max="37" width="5.42578125" style="4267" hidden="1" customWidth="1"/>
  </cols>
  <sheetData>
    <row r="1" spans="1:37" s="4274" customFormat="1" ht="33.75" hidden="1" customHeight="1">
      <c r="A1" s="913"/>
      <c r="B1" s="913"/>
      <c r="C1" s="913"/>
      <c r="D1" s="913"/>
      <c r="E1" s="913"/>
      <c r="G1" s="1557"/>
      <c r="H1" s="806"/>
      <c r="L1" s="1287">
        <v>4</v>
      </c>
      <c r="M1" s="1287">
        <v>4</v>
      </c>
      <c r="Q1" s="1557"/>
      <c r="R1" s="1557"/>
      <c r="W1" s="1557"/>
      <c r="AK1" s="1287" t="s">
        <v>14</v>
      </c>
    </row>
    <row r="2" spans="1:37" s="4274" customFormat="1" ht="78.75" hidden="1" customHeight="1">
      <c r="A2" s="913"/>
      <c r="B2" s="1968" t="s">
        <v>707</v>
      </c>
      <c r="C2" s="1968" t="s">
        <v>708</v>
      </c>
      <c r="D2" s="1967" t="s">
        <v>709</v>
      </c>
      <c r="E2" s="1971" t="e">
        <f>RIGHT(I2,LEN(I2)-SEARCH("#",SUBSTITUTE(I2,".","#",LEN(I2)-LEN(SUBSTITUTE(I2,".","")))))</f>
        <v>#VALUE!</v>
      </c>
      <c r="F2" s="1973">
        <f>J2</f>
        <v>0</v>
      </c>
      <c r="G2" s="1557"/>
      <c r="H2" s="1974"/>
      <c r="I2" s="1964"/>
      <c r="J2" s="478"/>
      <c r="K2" s="1934" t="s">
        <v>648</v>
      </c>
      <c r="L2" s="689"/>
      <c r="M2" s="689"/>
      <c r="N2" s="481"/>
      <c r="O2" s="1446" t="s">
        <v>649</v>
      </c>
      <c r="P2" s="481"/>
      <c r="Q2" s="1557"/>
      <c r="R2" s="1557"/>
      <c r="W2" s="1557"/>
      <c r="Z2" s="482"/>
      <c r="AF2" s="1553"/>
      <c r="AG2" s="1553"/>
      <c r="AH2" s="1553"/>
      <c r="AI2" s="1553"/>
      <c r="AJ2" s="1553"/>
      <c r="AK2" s="1287">
        <v>0</v>
      </c>
    </row>
    <row r="3" spans="1:37" ht="11.25" hidden="1" customHeight="1">
      <c r="E3" s="1966" t="s">
        <v>710</v>
      </c>
      <c r="L3" s="1552">
        <f>0</f>
        <v>0</v>
      </c>
      <c r="M3" s="1552">
        <v>1</v>
      </c>
      <c r="AK3" s="1552">
        <v>0</v>
      </c>
    </row>
    <row r="4" spans="1:37" s="4265" customFormat="1" ht="11.25" hidden="1" customHeight="1">
      <c r="A4" s="913"/>
      <c r="B4" s="913"/>
      <c r="C4" s="913"/>
      <c r="E4" s="913"/>
      <c r="F4" s="1287"/>
      <c r="G4" s="1557"/>
      <c r="H4" s="558"/>
      <c r="N4" s="1287"/>
      <c r="O4" s="1553">
        <v>4</v>
      </c>
      <c r="P4" s="1287"/>
      <c r="Q4" s="1557"/>
      <c r="R4" s="1557"/>
      <c r="S4" s="1287"/>
      <c r="T4" s="1287"/>
      <c r="U4" s="1287"/>
      <c r="V4" s="1287"/>
      <c r="W4" s="1557"/>
      <c r="X4" s="1287"/>
      <c r="Y4" s="1287"/>
      <c r="Z4" s="482"/>
      <c r="AA4" s="1287"/>
      <c r="AB4" s="1287"/>
      <c r="AC4" s="1287"/>
      <c r="AD4" s="1287"/>
      <c r="AE4" s="1287"/>
      <c r="AK4" s="1553">
        <v>0</v>
      </c>
    </row>
    <row r="5" spans="1:37" ht="11.45" customHeight="1">
      <c r="AK5" s="1552">
        <v>11</v>
      </c>
    </row>
    <row r="6" spans="1:37" ht="57.75" customHeight="1">
      <c r="I6" s="5402" t="s">
        <v>711</v>
      </c>
      <c r="J6" s="5402"/>
      <c r="K6" s="5402"/>
      <c r="L6" s="5402"/>
      <c r="M6" s="5402"/>
      <c r="O6" s="494"/>
      <c r="AK6" s="1552">
        <v>55</v>
      </c>
    </row>
    <row r="7" spans="1:37" ht="25.15" customHeight="1">
      <c r="I7" s="5423" t="str">
        <f>IF(org=0,"Не определено",org)</f>
        <v>КГУП "Примтеплоэнерго"</v>
      </c>
      <c r="J7" s="5423"/>
      <c r="K7" s="5423"/>
      <c r="L7" s="5423"/>
      <c r="M7" s="5423"/>
      <c r="AK7" s="1552">
        <v>24</v>
      </c>
    </row>
    <row r="8" spans="1:37" ht="11.45" customHeight="1">
      <c r="I8" s="1056"/>
      <c r="J8" s="1056"/>
      <c r="K8" s="1056"/>
      <c r="L8" s="1056"/>
      <c r="M8" s="1056"/>
      <c r="AK8" s="1552">
        <v>11</v>
      </c>
    </row>
    <row r="9" spans="1:37" s="4275" customFormat="1" ht="30" hidden="1" customHeight="1">
      <c r="A9" s="1088"/>
      <c r="B9" s="1088"/>
      <c r="C9" s="1088"/>
      <c r="E9" s="1088"/>
      <c r="H9" s="1563"/>
      <c r="L9" s="816"/>
      <c r="M9" s="816" t="s">
        <v>149</v>
      </c>
      <c r="AK9" s="1557">
        <v>1</v>
      </c>
    </row>
    <row r="10" spans="1:37" ht="11.45" customHeight="1">
      <c r="E10" s="1965" t="s">
        <v>712</v>
      </c>
      <c r="I10" s="649"/>
      <c r="J10" s="5559" t="s">
        <v>141</v>
      </c>
      <c r="K10" s="5560"/>
      <c r="L10" s="1944" t="str">
        <f>IF(L9="","",INDEX(DIFFERENTIATION_UNMERGE_VD,MATCH(L9,DIFFERENTIATION_ID_DIFF,0)))</f>
        <v/>
      </c>
      <c r="M10" s="1944">
        <f>IF(M9="","",INDEX(DIFFERENTIATION_UNMERGE_VD,MATCH(M9,DIFFERENTIATION_ID_DIFF,0)))</f>
        <v>0</v>
      </c>
      <c r="O10" s="5328" t="s">
        <v>394</v>
      </c>
      <c r="AK10" s="1552">
        <v>11</v>
      </c>
    </row>
    <row r="11" spans="1:37" ht="11.45" customHeight="1">
      <c r="E11" s="1965" t="s">
        <v>713</v>
      </c>
      <c r="I11" s="649"/>
      <c r="J11" s="5559" t="s">
        <v>656</v>
      </c>
      <c r="K11" s="5560"/>
      <c r="L11" s="1944" t="str">
        <f>IF(L9="","",INDEX(DIFFERENTIATION_UNMERGE_AREA,MATCH(L9,DIFFERENTIATION_ID_DIFF,0)))</f>
        <v/>
      </c>
      <c r="M11" s="1944" t="str">
        <f>IF(M9="","",INDEX(DIFFERENTIATION_UNMERGE_AREA,MATCH(M9,DIFFERENTIATION_ID_DIFF,0)))</f>
        <v/>
      </c>
      <c r="O11" s="5328"/>
      <c r="AK11" s="1552">
        <v>11</v>
      </c>
    </row>
    <row r="12" spans="1:37" ht="11.45" customHeight="1">
      <c r="E12" s="1965" t="s">
        <v>714</v>
      </c>
      <c r="I12" s="1583"/>
      <c r="J12" s="5559" t="s">
        <v>657</v>
      </c>
      <c r="K12" s="5560"/>
      <c r="L12" s="1944" t="str">
        <f>IF(L9="","",INDEX(DIFFERENTIATION_UNMERGE_SYSTEM,MATCH(L9,DIFFERENTIATION_ID_DIFF,0)))</f>
        <v/>
      </c>
      <c r="M12" s="1944" t="str">
        <f>IF(M9="","",INDEX(DIFFERENTIATION_UNMERGE_SYSTEM,MATCH(M9,DIFFERENTIATION_ID_DIFF,0)))</f>
        <v>без дифференциации</v>
      </c>
      <c r="O12" s="5328"/>
      <c r="AK12" s="1552">
        <v>11</v>
      </c>
    </row>
    <row r="13" spans="1:37" ht="11.45" customHeight="1">
      <c r="E13" s="1965" t="s">
        <v>715</v>
      </c>
      <c r="F13" s="1965" t="s">
        <v>716</v>
      </c>
      <c r="I13" s="5561" t="s">
        <v>393</v>
      </c>
      <c r="J13" s="5562"/>
      <c r="K13" s="5562"/>
      <c r="L13" s="1942"/>
      <c r="M13" s="1982"/>
      <c r="O13" s="5328"/>
      <c r="AK13" s="1552">
        <v>11</v>
      </c>
    </row>
    <row r="14" spans="1:37" ht="24" customHeight="1">
      <c r="I14" s="1935" t="s">
        <v>88</v>
      </c>
      <c r="J14" s="1935" t="s">
        <v>395</v>
      </c>
      <c r="K14" s="1935" t="s">
        <v>658</v>
      </c>
      <c r="L14" s="1975" t="s">
        <v>396</v>
      </c>
      <c r="M14" s="1976" t="s">
        <v>396</v>
      </c>
      <c r="O14" s="5328"/>
      <c r="AK14" s="1552">
        <v>23</v>
      </c>
    </row>
    <row r="15" spans="1:37" ht="24" customHeight="1">
      <c r="A15" s="1969"/>
      <c r="B15" s="1968" t="s">
        <v>717</v>
      </c>
      <c r="C15" s="1968" t="s">
        <v>718</v>
      </c>
      <c r="D15" s="1967" t="s">
        <v>719</v>
      </c>
      <c r="E15" s="1971" t="s">
        <v>720</v>
      </c>
      <c r="F15" s="1971" t="s">
        <v>720</v>
      </c>
      <c r="G15" s="1557" t="s">
        <v>680</v>
      </c>
      <c r="H15" s="1936"/>
      <c r="I15" s="1551">
        <v>1</v>
      </c>
      <c r="J15" s="1937" t="s">
        <v>721</v>
      </c>
      <c r="K15" s="1935" t="s">
        <v>399</v>
      </c>
      <c r="L15" s="600"/>
      <c r="M15" s="750"/>
      <c r="N15" s="481" t="s">
        <v>722</v>
      </c>
      <c r="O15" s="1446" t="s">
        <v>723</v>
      </c>
      <c r="P15" s="481" t="s">
        <v>722</v>
      </c>
      <c r="AK15" s="1552">
        <v>23</v>
      </c>
    </row>
    <row r="16" spans="1:37" ht="35.65" customHeight="1">
      <c r="A16" s="1969"/>
      <c r="B16" s="1968" t="s">
        <v>724</v>
      </c>
      <c r="C16" s="1968" t="s">
        <v>725</v>
      </c>
      <c r="D16" s="1967" t="s">
        <v>709</v>
      </c>
      <c r="E16" s="1971" t="s">
        <v>720</v>
      </c>
      <c r="F16" s="1971" t="s">
        <v>720</v>
      </c>
      <c r="H16" s="1936"/>
      <c r="I16" s="1550">
        <v>2</v>
      </c>
      <c r="J16" s="1978" t="s">
        <v>726</v>
      </c>
      <c r="K16" s="1977" t="s">
        <v>648</v>
      </c>
      <c r="L16" s="1983"/>
      <c r="M16" s="1597"/>
      <c r="N16" s="481" t="s">
        <v>722</v>
      </c>
      <c r="O16" s="1446" t="s">
        <v>727</v>
      </c>
      <c r="P16" s="481" t="s">
        <v>722</v>
      </c>
      <c r="AK16" s="1552">
        <v>34</v>
      </c>
    </row>
    <row r="17" spans="1:37" s="4275" customFormat="1" ht="17.25" hidden="1" customHeight="1">
      <c r="A17" s="1088"/>
      <c r="B17" s="1088"/>
      <c r="C17" s="1088"/>
      <c r="D17" s="1088"/>
      <c r="E17" s="1088"/>
      <c r="H17" s="1245"/>
      <c r="I17" s="938" t="s">
        <v>728</v>
      </c>
      <c r="J17" s="917"/>
      <c r="K17" s="938"/>
      <c r="L17" s="918"/>
      <c r="M17" s="918"/>
      <c r="O17" s="1306"/>
      <c r="AK17" s="1557">
        <v>1</v>
      </c>
    </row>
    <row r="18" spans="1:37" s="4274" customFormat="1" ht="24" customHeight="1">
      <c r="A18" s="913"/>
      <c r="B18" s="913"/>
      <c r="C18" s="913"/>
      <c r="D18" s="913"/>
      <c r="E18" s="913"/>
      <c r="G18" s="1557"/>
      <c r="H18" s="1554"/>
      <c r="I18" s="508"/>
      <c r="J18" s="509" t="s">
        <v>678</v>
      </c>
      <c r="K18" s="510"/>
      <c r="L18" s="1985"/>
      <c r="M18" s="511"/>
      <c r="N18" s="481"/>
      <c r="O18" s="1446" t="s">
        <v>679</v>
      </c>
      <c r="P18" s="481"/>
      <c r="Q18" s="1557"/>
      <c r="R18" s="1557"/>
      <c r="W18" s="1557"/>
      <c r="Z18" s="482"/>
      <c r="AF18" s="1553"/>
      <c r="AG18" s="1553"/>
      <c r="AH18" s="1553"/>
      <c r="AI18" s="1553"/>
      <c r="AJ18" s="1553"/>
      <c r="AK18" s="1287">
        <v>23</v>
      </c>
    </row>
    <row r="19" spans="1:37" ht="19.899999999999999" customHeight="1">
      <c r="A19" s="1969"/>
      <c r="B19" s="1968" t="s">
        <v>729</v>
      </c>
      <c r="C19" s="1968" t="s">
        <v>730</v>
      </c>
      <c r="D19" s="1967" t="s">
        <v>709</v>
      </c>
      <c r="E19" s="1971" t="s">
        <v>720</v>
      </c>
      <c r="F19" s="1971" t="s">
        <v>720</v>
      </c>
      <c r="H19" s="1936"/>
      <c r="I19" s="1585">
        <v>3</v>
      </c>
      <c r="J19" s="1937" t="s">
        <v>730</v>
      </c>
      <c r="K19" s="1933" t="s">
        <v>648</v>
      </c>
      <c r="L19" s="665"/>
      <c r="M19" s="495"/>
      <c r="N19" s="481"/>
      <c r="O19" s="1446" t="s">
        <v>731</v>
      </c>
      <c r="P19" s="481"/>
      <c r="AK19" s="1552">
        <v>19</v>
      </c>
    </row>
    <row r="20" spans="1:37" ht="77.650000000000006" customHeight="1">
      <c r="A20" s="1969"/>
      <c r="B20" s="1968" t="s">
        <v>732</v>
      </c>
      <c r="C20" s="1968" t="s">
        <v>733</v>
      </c>
      <c r="D20" s="1967" t="s">
        <v>709</v>
      </c>
      <c r="E20" s="1971" t="s">
        <v>720</v>
      </c>
      <c r="F20" s="1971" t="s">
        <v>720</v>
      </c>
      <c r="H20" s="1936"/>
      <c r="I20" s="1585">
        <v>4</v>
      </c>
      <c r="J20" s="1937" t="s">
        <v>734</v>
      </c>
      <c r="K20" s="1933" t="s">
        <v>675</v>
      </c>
      <c r="L20" s="665"/>
      <c r="M20" s="495"/>
      <c r="N20" s="481"/>
      <c r="O20" s="1446"/>
      <c r="P20" s="481"/>
      <c r="AK20" s="1552">
        <v>74</v>
      </c>
    </row>
    <row r="21" spans="1:37" ht="35.65" customHeight="1">
      <c r="A21" s="1969"/>
      <c r="B21" s="1968" t="s">
        <v>735</v>
      </c>
      <c r="C21" s="1968" t="s">
        <v>736</v>
      </c>
      <c r="D21" s="1967" t="s">
        <v>709</v>
      </c>
      <c r="E21" s="1971" t="s">
        <v>720</v>
      </c>
      <c r="F21" s="1971" t="s">
        <v>720</v>
      </c>
      <c r="H21" s="1936"/>
      <c r="I21" s="1585">
        <v>5</v>
      </c>
      <c r="J21" s="1937" t="s">
        <v>737</v>
      </c>
      <c r="K21" s="1933" t="s">
        <v>675</v>
      </c>
      <c r="L21" s="665"/>
      <c r="M21" s="495"/>
      <c r="N21" s="481"/>
      <c r="O21" s="1446" t="s">
        <v>731</v>
      </c>
      <c r="P21" s="481"/>
      <c r="AK21" s="1552">
        <v>34</v>
      </c>
    </row>
    <row r="22" spans="1:37" ht="48.2" customHeight="1">
      <c r="A22" s="1969"/>
      <c r="B22" s="1968" t="s">
        <v>738</v>
      </c>
      <c r="C22" s="1968" t="s">
        <v>739</v>
      </c>
      <c r="D22" s="1967" t="s">
        <v>709</v>
      </c>
      <c r="E22" s="1971" t="s">
        <v>720</v>
      </c>
      <c r="F22" s="1971" t="s">
        <v>720</v>
      </c>
      <c r="H22" s="1936"/>
      <c r="I22" s="1585">
        <v>6</v>
      </c>
      <c r="J22" s="1937" t="s">
        <v>740</v>
      </c>
      <c r="K22" s="1933" t="s">
        <v>675</v>
      </c>
      <c r="L22" s="665"/>
      <c r="M22" s="495"/>
      <c r="N22" s="481"/>
      <c r="O22" s="1446" t="s">
        <v>741</v>
      </c>
      <c r="P22" s="481"/>
      <c r="AK22" s="1552">
        <v>46</v>
      </c>
    </row>
    <row r="23" spans="1:37" ht="19.899999999999999" customHeight="1">
      <c r="A23" s="1969"/>
      <c r="B23" s="1968" t="s">
        <v>742</v>
      </c>
      <c r="C23" s="1968" t="s">
        <v>743</v>
      </c>
      <c r="D23" s="1967" t="s">
        <v>709</v>
      </c>
      <c r="E23" s="1971" t="s">
        <v>720</v>
      </c>
      <c r="F23" s="1971" t="s">
        <v>720</v>
      </c>
      <c r="H23" s="1936"/>
      <c r="I23" s="1585" t="s">
        <v>744</v>
      </c>
      <c r="J23" s="1445" t="s">
        <v>745</v>
      </c>
      <c r="K23" s="1933" t="s">
        <v>675</v>
      </c>
      <c r="L23" s="665"/>
      <c r="M23" s="495"/>
      <c r="N23" s="481"/>
      <c r="O23" s="1446" t="s">
        <v>731</v>
      </c>
      <c r="P23" s="481"/>
      <c r="AK23" s="1552">
        <v>19</v>
      </c>
    </row>
    <row r="24" spans="1:37" ht="19.899999999999999" customHeight="1">
      <c r="A24" s="1969"/>
      <c r="B24" s="1968" t="s">
        <v>746</v>
      </c>
      <c r="C24" s="1968" t="s">
        <v>747</v>
      </c>
      <c r="D24" s="1967" t="s">
        <v>709</v>
      </c>
      <c r="E24" s="1971" t="s">
        <v>720</v>
      </c>
      <c r="F24" s="1971" t="s">
        <v>720</v>
      </c>
      <c r="H24" s="1936"/>
      <c r="I24" s="1585" t="s">
        <v>748</v>
      </c>
      <c r="J24" s="1445" t="s">
        <v>749</v>
      </c>
      <c r="K24" s="1933" t="s">
        <v>675</v>
      </c>
      <c r="L24" s="665"/>
      <c r="M24" s="495"/>
      <c r="N24" s="481"/>
      <c r="O24" s="1446"/>
      <c r="P24" s="481"/>
      <c r="AK24" s="1552">
        <v>19</v>
      </c>
    </row>
    <row r="25" spans="1:37" ht="24" customHeight="1">
      <c r="A25" s="1969"/>
      <c r="B25" s="1968" t="s">
        <v>750</v>
      </c>
      <c r="C25" s="1968" t="s">
        <v>751</v>
      </c>
      <c r="D25" s="1967" t="s">
        <v>709</v>
      </c>
      <c r="E25" s="1971" t="s">
        <v>720</v>
      </c>
      <c r="F25" s="1971" t="s">
        <v>720</v>
      </c>
      <c r="H25" s="1936"/>
      <c r="I25" s="1585" t="s">
        <v>752</v>
      </c>
      <c r="J25" s="1445" t="s">
        <v>753</v>
      </c>
      <c r="K25" s="1933" t="s">
        <v>675</v>
      </c>
      <c r="L25" s="665"/>
      <c r="M25" s="495"/>
      <c r="N25" s="481"/>
      <c r="O25" s="1446"/>
      <c r="P25" s="481"/>
      <c r="AK25" s="1552">
        <v>23</v>
      </c>
    </row>
    <row r="26" spans="1:37" ht="24" customHeight="1">
      <c r="A26" s="1969"/>
      <c r="B26" s="1968" t="s">
        <v>754</v>
      </c>
      <c r="C26" s="1968" t="s">
        <v>755</v>
      </c>
      <c r="D26" s="1967" t="s">
        <v>709</v>
      </c>
      <c r="E26" s="1971" t="s">
        <v>720</v>
      </c>
      <c r="F26" s="1971" t="s">
        <v>720</v>
      </c>
      <c r="H26" s="1936"/>
      <c r="I26" s="1585">
        <v>7</v>
      </c>
      <c r="J26" s="1937" t="s">
        <v>755</v>
      </c>
      <c r="K26" s="1933" t="s">
        <v>756</v>
      </c>
      <c r="L26" s="665"/>
      <c r="M26" s="495"/>
      <c r="N26" s="481"/>
      <c r="O26" s="1446"/>
      <c r="P26" s="481"/>
      <c r="AK26" s="1552">
        <v>23</v>
      </c>
    </row>
    <row r="27" spans="1:37" ht="24" customHeight="1">
      <c r="A27" s="1969"/>
      <c r="B27" s="1968" t="s">
        <v>757</v>
      </c>
      <c r="C27" s="1968" t="s">
        <v>758</v>
      </c>
      <c r="D27" s="1967" t="s">
        <v>709</v>
      </c>
      <c r="E27" s="1971" t="s">
        <v>720</v>
      </c>
      <c r="F27" s="1971" t="s">
        <v>720</v>
      </c>
      <c r="H27" s="1936"/>
      <c r="I27" s="1585">
        <v>8</v>
      </c>
      <c r="J27" s="1937" t="s">
        <v>758</v>
      </c>
      <c r="K27" s="1933" t="s">
        <v>681</v>
      </c>
      <c r="L27" s="665"/>
      <c r="M27" s="495"/>
      <c r="N27" s="481"/>
      <c r="O27" s="1446"/>
      <c r="P27" s="481"/>
      <c r="AK27" s="1552">
        <v>23</v>
      </c>
    </row>
    <row r="28" spans="1:37" ht="35.65" customHeight="1">
      <c r="A28" s="1969"/>
      <c r="B28" s="1968" t="s">
        <v>759</v>
      </c>
      <c r="C28" s="1968" t="s">
        <v>760</v>
      </c>
      <c r="D28" s="1967" t="s">
        <v>709</v>
      </c>
      <c r="E28" s="1971" t="s">
        <v>720</v>
      </c>
      <c r="F28" s="1971" t="s">
        <v>720</v>
      </c>
      <c r="H28" s="1936"/>
      <c r="I28" s="1596">
        <v>9</v>
      </c>
      <c r="J28" s="1937" t="s">
        <v>761</v>
      </c>
      <c r="K28" s="1933" t="s">
        <v>652</v>
      </c>
      <c r="L28" s="665"/>
      <c r="M28" s="495"/>
      <c r="N28" s="481"/>
      <c r="O28" s="1446"/>
      <c r="P28" s="481"/>
      <c r="AK28" s="1552">
        <v>34</v>
      </c>
    </row>
    <row r="29" spans="1:37" ht="35.65" customHeight="1">
      <c r="A29" s="1969"/>
      <c r="B29" s="1968" t="s">
        <v>762</v>
      </c>
      <c r="C29" s="1968" t="s">
        <v>763</v>
      </c>
      <c r="D29" s="1967" t="s">
        <v>709</v>
      </c>
      <c r="E29" s="1971" t="s">
        <v>720</v>
      </c>
      <c r="F29" s="1971" t="s">
        <v>720</v>
      </c>
      <c r="H29" s="1936"/>
      <c r="I29" s="1596">
        <v>10</v>
      </c>
      <c r="J29" s="1937" t="s">
        <v>764</v>
      </c>
      <c r="K29" s="1933" t="s">
        <v>652</v>
      </c>
      <c r="L29" s="665"/>
      <c r="M29" s="495"/>
      <c r="N29" s="481"/>
      <c r="O29" s="1446"/>
      <c r="P29" s="481"/>
      <c r="AK29" s="1552">
        <v>34</v>
      </c>
    </row>
    <row r="30" spans="1:37" ht="24" customHeight="1">
      <c r="A30" s="1969"/>
      <c r="B30" s="1968" t="s">
        <v>765</v>
      </c>
      <c r="C30" s="1968" t="s">
        <v>766</v>
      </c>
      <c r="D30" s="1967" t="s">
        <v>709</v>
      </c>
      <c r="E30" s="1971" t="s">
        <v>720</v>
      </c>
      <c r="F30" s="1971" t="s">
        <v>720</v>
      </c>
      <c r="H30" s="1936"/>
      <c r="I30" s="1596">
        <v>11</v>
      </c>
      <c r="J30" s="1937" t="s">
        <v>766</v>
      </c>
      <c r="K30" s="1933" t="s">
        <v>682</v>
      </c>
      <c r="L30" s="1984"/>
      <c r="M30" s="1542"/>
      <c r="N30" s="481"/>
      <c r="O30" s="1446"/>
      <c r="P30" s="481"/>
      <c r="AK30" s="1552">
        <v>23</v>
      </c>
    </row>
    <row r="31" spans="1:37" ht="24" customHeight="1">
      <c r="A31" s="1969"/>
      <c r="B31" s="1968" t="s">
        <v>767</v>
      </c>
      <c r="C31" s="1968" t="s">
        <v>768</v>
      </c>
      <c r="D31" s="1967" t="s">
        <v>709</v>
      </c>
      <c r="E31" s="1971" t="s">
        <v>720</v>
      </c>
      <c r="F31" s="1971" t="s">
        <v>720</v>
      </c>
      <c r="H31" s="1936"/>
      <c r="I31" s="1596">
        <v>12</v>
      </c>
      <c r="J31" s="1937" t="s">
        <v>768</v>
      </c>
      <c r="K31" s="1933" t="s">
        <v>682</v>
      </c>
      <c r="L31" s="1984"/>
      <c r="M31" s="1542"/>
      <c r="N31" s="481"/>
      <c r="O31" s="1446"/>
      <c r="P31" s="481"/>
      <c r="AK31" s="1552">
        <v>23</v>
      </c>
    </row>
    <row r="32" spans="1:37" ht="48.2" customHeight="1">
      <c r="A32" s="1969"/>
      <c r="B32" s="1968" t="s">
        <v>769</v>
      </c>
      <c r="C32" s="1968" t="s">
        <v>770</v>
      </c>
      <c r="D32" s="1967" t="s">
        <v>709</v>
      </c>
      <c r="E32" s="1971" t="s">
        <v>720</v>
      </c>
      <c r="F32" s="1971" t="s">
        <v>720</v>
      </c>
      <c r="H32" s="1936"/>
      <c r="I32" s="1596">
        <v>13</v>
      </c>
      <c r="J32" s="1937" t="s">
        <v>771</v>
      </c>
      <c r="K32" s="1933" t="s">
        <v>692</v>
      </c>
      <c r="L32" s="665"/>
      <c r="M32" s="495"/>
      <c r="N32" s="481"/>
      <c r="O32" s="1446" t="s">
        <v>731</v>
      </c>
      <c r="P32" s="481"/>
      <c r="AK32" s="1552">
        <v>46</v>
      </c>
    </row>
    <row r="33" spans="1:37" s="4274" customFormat="1" ht="48.2" customHeight="1">
      <c r="A33" s="1969"/>
      <c r="B33" s="1968" t="s">
        <v>772</v>
      </c>
      <c r="C33" s="1968" t="s">
        <v>773</v>
      </c>
      <c r="D33" s="1967" t="s">
        <v>709</v>
      </c>
      <c r="E33" s="1971" t="s">
        <v>720</v>
      </c>
      <c r="F33" s="1971" t="s">
        <v>720</v>
      </c>
      <c r="G33" s="1557"/>
      <c r="H33" s="1936"/>
      <c r="I33" s="1596">
        <v>14</v>
      </c>
      <c r="J33" s="1949" t="s">
        <v>774</v>
      </c>
      <c r="K33" s="1938" t="s">
        <v>775</v>
      </c>
      <c r="L33" s="665"/>
      <c r="M33" s="495"/>
      <c r="N33" s="481"/>
      <c r="O33" s="1446" t="s">
        <v>731</v>
      </c>
      <c r="P33" s="481"/>
      <c r="Q33" s="1557"/>
      <c r="R33" s="1557"/>
      <c r="W33" s="1557"/>
      <c r="Z33" s="482"/>
      <c r="AF33" s="1553"/>
      <c r="AG33" s="1553"/>
      <c r="AH33" s="1553"/>
      <c r="AI33" s="1553"/>
      <c r="AJ33" s="1553"/>
      <c r="AK33" s="1287">
        <v>46</v>
      </c>
    </row>
    <row r="34" spans="1:37" ht="108" customHeight="1">
      <c r="A34" s="1969"/>
      <c r="B34" s="1968" t="s">
        <v>776</v>
      </c>
      <c r="C34" s="1968" t="s">
        <v>777</v>
      </c>
      <c r="D34" s="1967" t="s">
        <v>719</v>
      </c>
      <c r="E34" s="1971" t="s">
        <v>720</v>
      </c>
      <c r="F34" s="1971" t="s">
        <v>720</v>
      </c>
      <c r="G34" s="1557" t="s">
        <v>680</v>
      </c>
      <c r="H34" s="1936"/>
      <c r="I34" s="1947">
        <v>15</v>
      </c>
      <c r="J34" s="1948" t="s">
        <v>778</v>
      </c>
      <c r="K34" s="1933" t="s">
        <v>399</v>
      </c>
      <c r="L34" s="323"/>
      <c r="M34" s="1085"/>
      <c r="N34" s="481"/>
      <c r="O34" s="1446" t="s">
        <v>723</v>
      </c>
      <c r="P34" s="481"/>
      <c r="AK34" s="1552">
        <v>103</v>
      </c>
    </row>
    <row r="35" spans="1:37" s="4299" customFormat="1" ht="11.45" customHeight="1">
      <c r="A35" s="913"/>
      <c r="B35" s="913"/>
      <c r="C35" s="913"/>
      <c r="D35" s="913"/>
      <c r="E35" s="913"/>
      <c r="F35" s="1557"/>
      <c r="G35" s="1557"/>
      <c r="H35" s="289"/>
      <c r="N35" s="1287"/>
      <c r="P35" s="1287"/>
      <c r="Q35" s="1557"/>
      <c r="R35" s="1557"/>
      <c r="S35" s="1287"/>
      <c r="T35" s="1287"/>
      <c r="U35" s="1287"/>
      <c r="V35" s="1287"/>
      <c r="W35" s="1557"/>
      <c r="X35" s="1287"/>
      <c r="Y35" s="1287"/>
      <c r="Z35" s="482"/>
      <c r="AA35" s="1287"/>
      <c r="AB35" s="1287"/>
      <c r="AC35" s="1287"/>
      <c r="AD35" s="1287"/>
      <c r="AE35" s="1287"/>
      <c r="AF35" s="1553"/>
      <c r="AG35" s="560"/>
      <c r="AH35" s="560"/>
      <c r="AI35" s="560"/>
      <c r="AJ35" s="560"/>
      <c r="AK35" s="1562">
        <v>11</v>
      </c>
    </row>
    <row r="36" spans="1:37" s="4299" customFormat="1" ht="11.45" customHeight="1">
      <c r="A36" s="913"/>
      <c r="B36" s="913"/>
      <c r="C36" s="913"/>
      <c r="D36" s="913"/>
      <c r="E36" s="913"/>
      <c r="F36" s="1557"/>
      <c r="G36" s="1557"/>
      <c r="H36" s="289"/>
      <c r="N36" s="1287"/>
      <c r="P36" s="1287"/>
      <c r="Q36" s="1557"/>
      <c r="R36" s="1557"/>
      <c r="S36" s="1287"/>
      <c r="T36" s="1287"/>
      <c r="U36" s="1287"/>
      <c r="V36" s="1287"/>
      <c r="W36" s="1557"/>
      <c r="X36" s="1287"/>
      <c r="Y36" s="1287"/>
      <c r="Z36" s="482"/>
      <c r="AA36" s="1287"/>
      <c r="AB36" s="1287"/>
      <c r="AC36" s="1287"/>
      <c r="AD36" s="1287"/>
      <c r="AE36" s="1287"/>
      <c r="AF36" s="1553"/>
      <c r="AG36" s="560"/>
      <c r="AH36" s="560"/>
      <c r="AI36" s="560"/>
      <c r="AJ36" s="560"/>
      <c r="AK36" s="1562">
        <v>11</v>
      </c>
    </row>
    <row r="37" spans="1:37" s="4299" customFormat="1" ht="11.45" customHeight="1">
      <c r="A37" s="913"/>
      <c r="B37" s="913"/>
      <c r="C37" s="913"/>
      <c r="D37" s="913"/>
      <c r="E37" s="913"/>
      <c r="F37" s="1557"/>
      <c r="G37" s="1557"/>
      <c r="H37" s="289"/>
      <c r="L37" s="560"/>
      <c r="M37" s="560"/>
      <c r="N37" s="1287"/>
      <c r="P37" s="1287"/>
      <c r="Q37" s="1557"/>
      <c r="R37" s="1557"/>
      <c r="S37" s="1287"/>
      <c r="T37" s="1287"/>
      <c r="U37" s="1287"/>
      <c r="V37" s="1287"/>
      <c r="W37" s="1557"/>
      <c r="X37" s="1287"/>
      <c r="Y37" s="1287"/>
      <c r="Z37" s="482"/>
      <c r="AA37" s="1287"/>
      <c r="AB37" s="1287"/>
      <c r="AC37" s="1287"/>
      <c r="AD37" s="1287"/>
      <c r="AE37" s="1287"/>
      <c r="AF37" s="1553"/>
      <c r="AG37" s="560"/>
      <c r="AH37" s="560"/>
      <c r="AI37" s="560"/>
      <c r="AJ37" s="560"/>
      <c r="AK37" s="1562">
        <v>11</v>
      </c>
    </row>
    <row r="38" spans="1:37" s="4299" customFormat="1" ht="11.45" customHeight="1">
      <c r="A38" s="913"/>
      <c r="B38" s="913"/>
      <c r="C38" s="913"/>
      <c r="D38" s="913"/>
      <c r="E38" s="913"/>
      <c r="F38" s="1557"/>
      <c r="G38" s="1557"/>
      <c r="H38" s="289"/>
      <c r="N38" s="1287"/>
      <c r="P38" s="1287"/>
      <c r="Q38" s="1557"/>
      <c r="R38" s="1557"/>
      <c r="S38" s="1287"/>
      <c r="T38" s="1287"/>
      <c r="U38" s="1287"/>
      <c r="V38" s="1287"/>
      <c r="W38" s="1557"/>
      <c r="X38" s="1287"/>
      <c r="Y38" s="1287"/>
      <c r="Z38" s="482"/>
      <c r="AA38" s="1287"/>
      <c r="AB38" s="1287"/>
      <c r="AC38" s="1287"/>
      <c r="AD38" s="1287"/>
      <c r="AE38" s="1287"/>
      <c r="AF38" s="1553"/>
      <c r="AG38" s="560"/>
      <c r="AH38" s="560"/>
      <c r="AI38" s="560"/>
      <c r="AJ38" s="560"/>
      <c r="AK38" s="1562">
        <v>11</v>
      </c>
    </row>
    <row r="39" spans="1:37" s="4299" customFormat="1" ht="11.45" customHeight="1">
      <c r="A39" s="913"/>
      <c r="B39" s="913"/>
      <c r="C39" s="913"/>
      <c r="D39" s="913"/>
      <c r="E39" s="913"/>
      <c r="F39" s="1557"/>
      <c r="G39" s="1557"/>
      <c r="H39" s="289"/>
      <c r="N39" s="1287"/>
      <c r="P39" s="1287"/>
      <c r="Q39" s="1557"/>
      <c r="R39" s="1557"/>
      <c r="S39" s="1287"/>
      <c r="T39" s="1287"/>
      <c r="U39" s="1287"/>
      <c r="V39" s="1287"/>
      <c r="W39" s="1557"/>
      <c r="X39" s="1287"/>
      <c r="Y39" s="1287"/>
      <c r="Z39" s="482"/>
      <c r="AA39" s="1287"/>
      <c r="AB39" s="1287"/>
      <c r="AC39" s="1287"/>
      <c r="AD39" s="1287"/>
      <c r="AE39" s="1287"/>
      <c r="AF39" s="1553"/>
      <c r="AG39" s="560"/>
      <c r="AH39" s="560"/>
      <c r="AI39" s="560"/>
      <c r="AJ39" s="560"/>
      <c r="AK39" s="1562">
        <v>11</v>
      </c>
    </row>
    <row r="40" spans="1:37" s="4299" customFormat="1" ht="11.45" customHeight="1">
      <c r="A40" s="913"/>
      <c r="B40" s="913"/>
      <c r="C40" s="913"/>
      <c r="D40" s="913"/>
      <c r="E40" s="913"/>
      <c r="F40" s="1557"/>
      <c r="G40" s="1557"/>
      <c r="H40" s="289"/>
      <c r="N40" s="1287"/>
      <c r="P40" s="1287"/>
      <c r="Q40" s="1557"/>
      <c r="R40" s="1557"/>
      <c r="S40" s="1287"/>
      <c r="T40" s="1287"/>
      <c r="U40" s="1287"/>
      <c r="V40" s="1287"/>
      <c r="W40" s="1557"/>
      <c r="X40" s="1287"/>
      <c r="Y40" s="1287"/>
      <c r="Z40" s="482"/>
      <c r="AA40" s="1287"/>
      <c r="AB40" s="1287"/>
      <c r="AC40" s="1287"/>
      <c r="AD40" s="1287"/>
      <c r="AE40" s="1287"/>
      <c r="AF40" s="1553"/>
      <c r="AG40" s="560"/>
      <c r="AH40" s="560"/>
      <c r="AI40" s="560"/>
      <c r="AJ40" s="560"/>
      <c r="AK40" s="1562">
        <v>11</v>
      </c>
    </row>
    <row r="41" spans="1:37" s="4299" customFormat="1" ht="11.45" customHeight="1">
      <c r="A41" s="913"/>
      <c r="B41" s="913"/>
      <c r="C41" s="913"/>
      <c r="D41" s="913"/>
      <c r="E41" s="913"/>
      <c r="F41" s="1557"/>
      <c r="G41" s="1557"/>
      <c r="H41" s="289"/>
      <c r="N41" s="1287"/>
      <c r="P41" s="1287"/>
      <c r="Q41" s="1557"/>
      <c r="R41" s="1557"/>
      <c r="S41" s="1287"/>
      <c r="T41" s="1287"/>
      <c r="U41" s="1287"/>
      <c r="V41" s="1287"/>
      <c r="W41" s="1557"/>
      <c r="X41" s="1287"/>
      <c r="Y41" s="1287"/>
      <c r="Z41" s="482"/>
      <c r="AA41" s="1287"/>
      <c r="AB41" s="1287"/>
      <c r="AC41" s="1287"/>
      <c r="AD41" s="1287"/>
      <c r="AE41" s="1287"/>
      <c r="AF41" s="1553"/>
      <c r="AG41" s="560"/>
      <c r="AH41" s="560"/>
      <c r="AI41" s="560"/>
      <c r="AJ41" s="560"/>
      <c r="AK41" s="1562">
        <v>11</v>
      </c>
    </row>
    <row r="42" spans="1:37" s="4299" customFormat="1" ht="11.45" customHeight="1">
      <c r="A42" s="913"/>
      <c r="B42" s="913"/>
      <c r="C42" s="913"/>
      <c r="D42" s="913"/>
      <c r="E42" s="913"/>
      <c r="F42" s="1557"/>
      <c r="G42" s="1557"/>
      <c r="H42" s="289"/>
      <c r="N42" s="1287"/>
      <c r="P42" s="1287"/>
      <c r="Q42" s="1557"/>
      <c r="R42" s="1557"/>
      <c r="S42" s="1287"/>
      <c r="T42" s="1287"/>
      <c r="U42" s="1287"/>
      <c r="V42" s="1287"/>
      <c r="W42" s="1557"/>
      <c r="X42" s="1287"/>
      <c r="Y42" s="1287"/>
      <c r="Z42" s="482"/>
      <c r="AA42" s="1287"/>
      <c r="AB42" s="1287"/>
      <c r="AC42" s="1287"/>
      <c r="AD42" s="1287"/>
      <c r="AE42" s="1287"/>
      <c r="AF42" s="1553"/>
      <c r="AG42" s="560"/>
      <c r="AH42" s="560"/>
      <c r="AI42" s="560"/>
      <c r="AJ42" s="560"/>
      <c r="AK42" s="1562">
        <v>11</v>
      </c>
    </row>
    <row r="43" spans="1:37" s="4299" customFormat="1" ht="11.45" customHeight="1">
      <c r="A43" s="913"/>
      <c r="B43" s="913"/>
      <c r="C43" s="913"/>
      <c r="D43" s="913"/>
      <c r="E43" s="913"/>
      <c r="F43" s="1557"/>
      <c r="G43" s="1557"/>
      <c r="H43" s="289"/>
      <c r="N43" s="1287"/>
      <c r="P43" s="1287"/>
      <c r="Q43" s="1557"/>
      <c r="R43" s="1557"/>
      <c r="S43" s="1287"/>
      <c r="T43" s="1287"/>
      <c r="U43" s="1287"/>
      <c r="V43" s="1287"/>
      <c r="W43" s="1557"/>
      <c r="X43" s="1287"/>
      <c r="Y43" s="1287"/>
      <c r="Z43" s="482"/>
      <c r="AA43" s="1287"/>
      <c r="AB43" s="1287"/>
      <c r="AC43" s="1287"/>
      <c r="AD43" s="1287"/>
      <c r="AE43" s="1287"/>
      <c r="AF43" s="1553"/>
      <c r="AG43" s="560"/>
      <c r="AH43" s="560"/>
      <c r="AI43" s="560"/>
      <c r="AJ43" s="560"/>
      <c r="AK43" s="1562">
        <v>11</v>
      </c>
    </row>
    <row r="44" spans="1:37" s="4299" customFormat="1" ht="11.45" customHeight="1">
      <c r="A44" s="913"/>
      <c r="B44" s="913"/>
      <c r="C44" s="913"/>
      <c r="D44" s="913"/>
      <c r="E44" s="913"/>
      <c r="F44" s="1557"/>
      <c r="G44" s="1557"/>
      <c r="H44" s="289"/>
      <c r="N44" s="1287"/>
      <c r="P44" s="1287"/>
      <c r="Q44" s="1557"/>
      <c r="R44" s="1557"/>
      <c r="S44" s="1287"/>
      <c r="T44" s="1287"/>
      <c r="U44" s="1287"/>
      <c r="V44" s="1287"/>
      <c r="W44" s="1557"/>
      <c r="X44" s="1287"/>
      <c r="Y44" s="1287"/>
      <c r="Z44" s="482"/>
      <c r="AA44" s="1287"/>
      <c r="AB44" s="1287"/>
      <c r="AC44" s="1287"/>
      <c r="AD44" s="1287"/>
      <c r="AE44" s="1287"/>
      <c r="AF44" s="1553"/>
      <c r="AG44" s="560"/>
      <c r="AH44" s="560"/>
      <c r="AI44" s="560"/>
      <c r="AJ44" s="560"/>
      <c r="AK44" s="1562">
        <v>11</v>
      </c>
    </row>
    <row r="45" spans="1:37" s="4299" customFormat="1" ht="11.45" customHeight="1">
      <c r="A45" s="913"/>
      <c r="B45" s="913"/>
      <c r="C45" s="913"/>
      <c r="D45" s="913"/>
      <c r="E45" s="913"/>
      <c r="F45" s="1557"/>
      <c r="G45" s="1557"/>
      <c r="H45" s="289"/>
      <c r="N45" s="1287"/>
      <c r="P45" s="1287"/>
      <c r="Q45" s="1557"/>
      <c r="R45" s="1557"/>
      <c r="S45" s="1287"/>
      <c r="T45" s="1287"/>
      <c r="U45" s="1287"/>
      <c r="V45" s="1287"/>
      <c r="W45" s="1557"/>
      <c r="X45" s="1287"/>
      <c r="Y45" s="1287"/>
      <c r="Z45" s="482"/>
      <c r="AA45" s="1287"/>
      <c r="AB45" s="1287"/>
      <c r="AC45" s="1287"/>
      <c r="AD45" s="1287"/>
      <c r="AE45" s="1287"/>
      <c r="AF45" s="1553"/>
      <c r="AG45" s="560"/>
      <c r="AH45" s="560"/>
      <c r="AI45" s="560"/>
      <c r="AJ45" s="560"/>
      <c r="AK45" s="1562">
        <v>11</v>
      </c>
    </row>
    <row r="46" spans="1:37" s="4299" customFormat="1" ht="11.45" customHeight="1">
      <c r="A46" s="913"/>
      <c r="B46" s="913"/>
      <c r="C46" s="913"/>
      <c r="D46" s="913"/>
      <c r="E46" s="913"/>
      <c r="F46" s="1557"/>
      <c r="G46" s="1557"/>
      <c r="H46" s="289"/>
      <c r="N46" s="1287"/>
      <c r="P46" s="1287"/>
      <c r="Q46" s="1557"/>
      <c r="R46" s="1557"/>
      <c r="S46" s="1287"/>
      <c r="T46" s="1287"/>
      <c r="U46" s="1287"/>
      <c r="V46" s="1287"/>
      <c r="W46" s="1557"/>
      <c r="X46" s="1287"/>
      <c r="Y46" s="1287"/>
      <c r="Z46" s="482"/>
      <c r="AA46" s="1287"/>
      <c r="AB46" s="1287"/>
      <c r="AC46" s="1287"/>
      <c r="AD46" s="1287"/>
      <c r="AE46" s="1287"/>
      <c r="AF46" s="1553"/>
      <c r="AG46" s="560"/>
      <c r="AH46" s="560"/>
      <c r="AI46" s="560"/>
      <c r="AJ46" s="560"/>
      <c r="AK46" s="1562">
        <v>11</v>
      </c>
    </row>
    <row r="47" spans="1:37" s="4299" customFormat="1" ht="11.45" customHeight="1">
      <c r="A47" s="913"/>
      <c r="B47" s="913"/>
      <c r="C47" s="913"/>
      <c r="D47" s="913"/>
      <c r="E47" s="913"/>
      <c r="F47" s="1557"/>
      <c r="G47" s="1557"/>
      <c r="H47" s="289"/>
      <c r="N47" s="1287"/>
      <c r="P47" s="1287"/>
      <c r="Q47" s="1557"/>
      <c r="R47" s="1557"/>
      <c r="S47" s="1287"/>
      <c r="T47" s="1287"/>
      <c r="U47" s="1287"/>
      <c r="V47" s="1287"/>
      <c r="W47" s="1557"/>
      <c r="X47" s="1287"/>
      <c r="Y47" s="1287"/>
      <c r="Z47" s="482"/>
      <c r="AA47" s="1287"/>
      <c r="AB47" s="1287"/>
      <c r="AC47" s="1287"/>
      <c r="AD47" s="1287"/>
      <c r="AE47" s="1287"/>
      <c r="AF47" s="1553"/>
      <c r="AG47" s="560"/>
      <c r="AH47" s="560"/>
      <c r="AI47" s="560"/>
      <c r="AJ47" s="560"/>
      <c r="AK47" s="1562">
        <v>11</v>
      </c>
    </row>
    <row r="48" spans="1:37" s="4299" customFormat="1" ht="11.45" customHeight="1">
      <c r="A48" s="913"/>
      <c r="B48" s="913"/>
      <c r="C48" s="913"/>
      <c r="D48" s="913"/>
      <c r="E48" s="913"/>
      <c r="F48" s="1557"/>
      <c r="G48" s="1557"/>
      <c r="H48" s="289"/>
      <c r="N48" s="1287"/>
      <c r="P48" s="1287"/>
      <c r="Q48" s="1557"/>
      <c r="R48" s="1557"/>
      <c r="S48" s="1287"/>
      <c r="T48" s="1287"/>
      <c r="U48" s="1287"/>
      <c r="V48" s="1287"/>
      <c r="W48" s="1557"/>
      <c r="X48" s="1287"/>
      <c r="Y48" s="1287"/>
      <c r="Z48" s="482"/>
      <c r="AA48" s="1287"/>
      <c r="AB48" s="1287"/>
      <c r="AC48" s="1287"/>
      <c r="AD48" s="1287"/>
      <c r="AE48" s="1287"/>
      <c r="AF48" s="1553"/>
      <c r="AG48" s="560"/>
      <c r="AH48" s="560"/>
      <c r="AI48" s="560"/>
      <c r="AJ48" s="560"/>
      <c r="AK48" s="1562">
        <v>11</v>
      </c>
    </row>
    <row r="49" spans="1:37" s="4299" customFormat="1" ht="11.45" customHeight="1">
      <c r="A49" s="913"/>
      <c r="B49" s="913"/>
      <c r="C49" s="913"/>
      <c r="D49" s="913"/>
      <c r="E49" s="913"/>
      <c r="F49" s="1557"/>
      <c r="G49" s="1557"/>
      <c r="H49" s="289"/>
      <c r="N49" s="1287"/>
      <c r="P49" s="1287"/>
      <c r="Q49" s="1557"/>
      <c r="R49" s="1557"/>
      <c r="S49" s="1287"/>
      <c r="T49" s="1287"/>
      <c r="U49" s="1287"/>
      <c r="V49" s="1287"/>
      <c r="W49" s="1557"/>
      <c r="X49" s="1287"/>
      <c r="Y49" s="1287"/>
      <c r="Z49" s="482"/>
      <c r="AA49" s="1287"/>
      <c r="AB49" s="1287"/>
      <c r="AC49" s="1287"/>
      <c r="AD49" s="1287"/>
      <c r="AE49" s="1287"/>
      <c r="AF49" s="1553"/>
      <c r="AG49" s="560"/>
      <c r="AH49" s="560"/>
      <c r="AI49" s="560"/>
      <c r="AJ49" s="560"/>
      <c r="AK49" s="1562">
        <v>11</v>
      </c>
    </row>
    <row r="50" spans="1:37" s="4299" customFormat="1" ht="11.45" customHeight="1">
      <c r="A50" s="913"/>
      <c r="B50" s="913"/>
      <c r="C50" s="913"/>
      <c r="D50" s="913"/>
      <c r="E50" s="913"/>
      <c r="F50" s="1557"/>
      <c r="G50" s="1557"/>
      <c r="H50" s="289"/>
      <c r="N50" s="1287"/>
      <c r="P50" s="1287"/>
      <c r="Q50" s="1557"/>
      <c r="R50" s="1557"/>
      <c r="S50" s="1287"/>
      <c r="T50" s="1287"/>
      <c r="U50" s="1287"/>
      <c r="V50" s="1287"/>
      <c r="W50" s="1557"/>
      <c r="X50" s="1287"/>
      <c r="Y50" s="1287"/>
      <c r="Z50" s="482"/>
      <c r="AA50" s="1287"/>
      <c r="AB50" s="1287"/>
      <c r="AC50" s="1287"/>
      <c r="AD50" s="1287"/>
      <c r="AE50" s="1287"/>
      <c r="AF50" s="1553"/>
      <c r="AG50" s="560"/>
      <c r="AH50" s="560"/>
      <c r="AI50" s="560"/>
      <c r="AJ50" s="560"/>
      <c r="AK50" s="1562">
        <v>11</v>
      </c>
    </row>
    <row r="51" spans="1:37" s="4299" customFormat="1" ht="11.45" customHeight="1">
      <c r="A51" s="913"/>
      <c r="B51" s="913"/>
      <c r="C51" s="913"/>
      <c r="D51" s="913"/>
      <c r="E51" s="913"/>
      <c r="F51" s="1557"/>
      <c r="G51" s="1557"/>
      <c r="H51" s="289"/>
      <c r="N51" s="1287"/>
      <c r="P51" s="1287"/>
      <c r="Q51" s="1557"/>
      <c r="R51" s="1557"/>
      <c r="S51" s="1287"/>
      <c r="T51" s="1287"/>
      <c r="U51" s="1287"/>
      <c r="V51" s="1287"/>
      <c r="W51" s="1557"/>
      <c r="X51" s="1287"/>
      <c r="Y51" s="1287"/>
      <c r="Z51" s="482"/>
      <c r="AA51" s="1287"/>
      <c r="AB51" s="1287"/>
      <c r="AC51" s="1287"/>
      <c r="AD51" s="1287"/>
      <c r="AE51" s="1287"/>
      <c r="AF51" s="1553"/>
      <c r="AG51" s="560"/>
      <c r="AH51" s="560"/>
      <c r="AI51" s="560"/>
      <c r="AJ51" s="560"/>
      <c r="AK51" s="1562">
        <v>11</v>
      </c>
    </row>
    <row r="52" spans="1:37" s="4299" customFormat="1" ht="11.45" customHeight="1">
      <c r="A52" s="913"/>
      <c r="B52" s="913"/>
      <c r="C52" s="913"/>
      <c r="D52" s="913"/>
      <c r="E52" s="913"/>
      <c r="F52" s="1557"/>
      <c r="G52" s="1557"/>
      <c r="H52" s="289"/>
      <c r="N52" s="1287"/>
      <c r="P52" s="1287"/>
      <c r="Q52" s="1557"/>
      <c r="R52" s="1557"/>
      <c r="S52" s="1287"/>
      <c r="T52" s="1287"/>
      <c r="U52" s="1287"/>
      <c r="V52" s="1287"/>
      <c r="W52" s="1557"/>
      <c r="X52" s="1287"/>
      <c r="Y52" s="1287"/>
      <c r="Z52" s="482"/>
      <c r="AA52" s="1287"/>
      <c r="AB52" s="1287"/>
      <c r="AC52" s="1287"/>
      <c r="AD52" s="1287"/>
      <c r="AE52" s="1287"/>
      <c r="AF52" s="1553"/>
      <c r="AG52" s="560"/>
      <c r="AH52" s="560"/>
      <c r="AI52" s="560"/>
      <c r="AJ52" s="560"/>
      <c r="AK52" s="1562">
        <v>11</v>
      </c>
    </row>
    <row r="53" spans="1:37" s="4299" customFormat="1" ht="11.45" customHeight="1">
      <c r="A53" s="913"/>
      <c r="B53" s="913"/>
      <c r="C53" s="913"/>
      <c r="D53" s="913"/>
      <c r="E53" s="913"/>
      <c r="F53" s="1557"/>
      <c r="G53" s="1557"/>
      <c r="H53" s="289"/>
      <c r="N53" s="1287"/>
      <c r="P53" s="1287"/>
      <c r="Q53" s="1557"/>
      <c r="R53" s="1557"/>
      <c r="S53" s="1287"/>
      <c r="T53" s="1287"/>
      <c r="U53" s="1287"/>
      <c r="V53" s="1287"/>
      <c r="W53" s="1557"/>
      <c r="X53" s="1287"/>
      <c r="Y53" s="1287"/>
      <c r="Z53" s="482"/>
      <c r="AA53" s="1287"/>
      <c r="AB53" s="1287"/>
      <c r="AC53" s="1287"/>
      <c r="AD53" s="1287"/>
      <c r="AE53" s="1287"/>
      <c r="AF53" s="1553"/>
      <c r="AG53" s="560"/>
      <c r="AH53" s="560"/>
      <c r="AI53" s="560"/>
      <c r="AJ53" s="560"/>
      <c r="AK53" s="1562">
        <v>11</v>
      </c>
    </row>
    <row r="54" spans="1:37" s="4299" customFormat="1" ht="11.45" customHeight="1">
      <c r="A54" s="913"/>
      <c r="B54" s="913"/>
      <c r="C54" s="913"/>
      <c r="D54" s="913"/>
      <c r="E54" s="913"/>
      <c r="F54" s="1557"/>
      <c r="G54" s="1557"/>
      <c r="H54" s="289"/>
      <c r="N54" s="1287"/>
      <c r="P54" s="1287"/>
      <c r="Q54" s="1557"/>
      <c r="R54" s="1557"/>
      <c r="S54" s="1287"/>
      <c r="T54" s="1287"/>
      <c r="U54" s="1287"/>
      <c r="V54" s="1287"/>
      <c r="W54" s="1557"/>
      <c r="X54" s="1287"/>
      <c r="Y54" s="1287"/>
      <c r="Z54" s="482"/>
      <c r="AA54" s="1287"/>
      <c r="AB54" s="1287"/>
      <c r="AC54" s="1287"/>
      <c r="AD54" s="1287"/>
      <c r="AE54" s="1287"/>
      <c r="AF54" s="1553"/>
      <c r="AG54" s="560"/>
      <c r="AH54" s="560"/>
      <c r="AI54" s="560"/>
      <c r="AJ54" s="560"/>
      <c r="AK54" s="1562">
        <v>11</v>
      </c>
    </row>
    <row r="55" spans="1:37" s="4299" customFormat="1" ht="11.45" customHeight="1">
      <c r="A55" s="913"/>
      <c r="B55" s="913"/>
      <c r="C55" s="913"/>
      <c r="D55" s="913"/>
      <c r="E55" s="913"/>
      <c r="F55" s="1557"/>
      <c r="G55" s="1557"/>
      <c r="H55" s="289"/>
      <c r="N55" s="1287"/>
      <c r="P55" s="1287"/>
      <c r="Q55" s="1557"/>
      <c r="R55" s="1557"/>
      <c r="S55" s="1287"/>
      <c r="T55" s="1287"/>
      <c r="U55" s="1287"/>
      <c r="V55" s="1287"/>
      <c r="W55" s="1557"/>
      <c r="X55" s="1287"/>
      <c r="Y55" s="1287"/>
      <c r="Z55" s="482"/>
      <c r="AA55" s="1287"/>
      <c r="AB55" s="1287"/>
      <c r="AC55" s="1287"/>
      <c r="AD55" s="1287"/>
      <c r="AE55" s="1287"/>
      <c r="AF55" s="1553"/>
      <c r="AG55" s="560"/>
      <c r="AH55" s="560"/>
      <c r="AI55" s="560"/>
      <c r="AJ55" s="560"/>
      <c r="AK55" s="1562">
        <v>11</v>
      </c>
    </row>
    <row r="56" spans="1:37" s="4299" customFormat="1" ht="11.45" customHeight="1">
      <c r="A56" s="913"/>
      <c r="B56" s="913"/>
      <c r="C56" s="913"/>
      <c r="D56" s="913"/>
      <c r="E56" s="913"/>
      <c r="F56" s="1557"/>
      <c r="G56" s="1557"/>
      <c r="H56" s="289"/>
      <c r="N56" s="1287"/>
      <c r="P56" s="1287"/>
      <c r="Q56" s="1557"/>
      <c r="R56" s="1557"/>
      <c r="S56" s="1287"/>
      <c r="T56" s="1287"/>
      <c r="U56" s="1287"/>
      <c r="V56" s="1287"/>
      <c r="W56" s="1557"/>
      <c r="X56" s="1287"/>
      <c r="Y56" s="1287"/>
      <c r="Z56" s="482"/>
      <c r="AA56" s="1287"/>
      <c r="AB56" s="1287"/>
      <c r="AC56" s="1287"/>
      <c r="AD56" s="1287"/>
      <c r="AE56" s="1287"/>
      <c r="AF56" s="1553"/>
      <c r="AG56" s="560"/>
      <c r="AH56" s="560"/>
      <c r="AI56" s="560"/>
      <c r="AJ56" s="560"/>
      <c r="AK56" s="1562">
        <v>11</v>
      </c>
    </row>
    <row r="57" spans="1:37" s="4299" customFormat="1" ht="11.45" customHeight="1">
      <c r="A57" s="913"/>
      <c r="B57" s="913"/>
      <c r="C57" s="913"/>
      <c r="D57" s="913"/>
      <c r="E57" s="913"/>
      <c r="F57" s="1557"/>
      <c r="G57" s="1557"/>
      <c r="H57" s="289"/>
      <c r="N57" s="1287"/>
      <c r="P57" s="1287"/>
      <c r="Q57" s="1557"/>
      <c r="R57" s="1557"/>
      <c r="S57" s="1287"/>
      <c r="T57" s="1287"/>
      <c r="U57" s="1287"/>
      <c r="V57" s="1287"/>
      <c r="W57" s="1557"/>
      <c r="X57" s="1287"/>
      <c r="Y57" s="1287"/>
      <c r="Z57" s="482"/>
      <c r="AA57" s="1287"/>
      <c r="AB57" s="1287"/>
      <c r="AC57" s="1287"/>
      <c r="AD57" s="1287"/>
      <c r="AE57" s="1287"/>
      <c r="AF57" s="1553"/>
      <c r="AG57" s="560"/>
      <c r="AH57" s="560"/>
      <c r="AI57" s="560"/>
      <c r="AJ57" s="560"/>
      <c r="AK57" s="1562">
        <v>11</v>
      </c>
    </row>
    <row r="58" spans="1:37" s="4299" customFormat="1" ht="11.45" customHeight="1">
      <c r="A58" s="913"/>
      <c r="B58" s="913"/>
      <c r="C58" s="913"/>
      <c r="D58" s="913"/>
      <c r="E58" s="913"/>
      <c r="F58" s="1557"/>
      <c r="G58" s="1557"/>
      <c r="H58" s="289"/>
      <c r="N58" s="1287"/>
      <c r="P58" s="1287"/>
      <c r="Q58" s="1557"/>
      <c r="R58" s="1557"/>
      <c r="S58" s="1287"/>
      <c r="T58" s="1287"/>
      <c r="U58" s="1287"/>
      <c r="V58" s="1287"/>
      <c r="W58" s="1557"/>
      <c r="X58" s="1287"/>
      <c r="Y58" s="1287"/>
      <c r="Z58" s="482"/>
      <c r="AA58" s="1287"/>
      <c r="AB58" s="1287"/>
      <c r="AC58" s="1287"/>
      <c r="AD58" s="1287"/>
      <c r="AE58" s="1287"/>
      <c r="AF58" s="1553"/>
      <c r="AG58" s="560"/>
      <c r="AH58" s="560"/>
      <c r="AI58" s="560"/>
      <c r="AJ58" s="560"/>
      <c r="AK58" s="1562">
        <v>11</v>
      </c>
    </row>
    <row r="59" spans="1:37" s="4299" customFormat="1" ht="11.45" customHeight="1">
      <c r="A59" s="913"/>
      <c r="B59" s="913"/>
      <c r="C59" s="913"/>
      <c r="D59" s="913"/>
      <c r="E59" s="913"/>
      <c r="F59" s="1557"/>
      <c r="G59" s="1557"/>
      <c r="H59" s="289"/>
      <c r="N59" s="1287"/>
      <c r="P59" s="1287"/>
      <c r="Q59" s="1557"/>
      <c r="R59" s="1557"/>
      <c r="S59" s="1287"/>
      <c r="T59" s="1287"/>
      <c r="U59" s="1287"/>
      <c r="V59" s="1287"/>
      <c r="W59" s="1557"/>
      <c r="X59" s="1287"/>
      <c r="Y59" s="1287"/>
      <c r="Z59" s="482"/>
      <c r="AA59" s="1287"/>
      <c r="AB59" s="1287"/>
      <c r="AC59" s="1287"/>
      <c r="AD59" s="1287"/>
      <c r="AE59" s="1287"/>
      <c r="AF59" s="1553"/>
      <c r="AG59" s="560"/>
      <c r="AH59" s="560"/>
      <c r="AI59" s="560"/>
      <c r="AJ59" s="560"/>
      <c r="AK59" s="1562">
        <v>11</v>
      </c>
    </row>
    <row r="60" spans="1:37" s="4299" customFormat="1" ht="11.45" customHeight="1">
      <c r="A60" s="913"/>
      <c r="B60" s="913"/>
      <c r="C60" s="913"/>
      <c r="D60" s="913"/>
      <c r="E60" s="913"/>
      <c r="F60" s="1557"/>
      <c r="G60" s="1557"/>
      <c r="H60" s="289"/>
      <c r="N60" s="1287"/>
      <c r="P60" s="1287"/>
      <c r="Q60" s="1557"/>
      <c r="R60" s="1557"/>
      <c r="S60" s="1287"/>
      <c r="T60" s="1287"/>
      <c r="U60" s="1287"/>
      <c r="V60" s="1287"/>
      <c r="W60" s="1557"/>
      <c r="X60" s="1287"/>
      <c r="Y60" s="1287"/>
      <c r="Z60" s="482"/>
      <c r="AA60" s="1287"/>
      <c r="AB60" s="1287"/>
      <c r="AC60" s="1287"/>
      <c r="AD60" s="1287"/>
      <c r="AE60" s="1287"/>
      <c r="AF60" s="1553"/>
      <c r="AG60" s="560"/>
      <c r="AH60" s="560"/>
      <c r="AI60" s="560"/>
      <c r="AJ60" s="560"/>
      <c r="AK60" s="1562">
        <v>11</v>
      </c>
    </row>
    <row r="61" spans="1:37" s="4299" customFormat="1" ht="11.45" customHeight="1">
      <c r="A61" s="913"/>
      <c r="B61" s="913"/>
      <c r="C61" s="913"/>
      <c r="D61" s="913"/>
      <c r="E61" s="913"/>
      <c r="F61" s="1557"/>
      <c r="G61" s="1557"/>
      <c r="H61" s="289"/>
      <c r="N61" s="1287"/>
      <c r="P61" s="1287"/>
      <c r="Q61" s="1557"/>
      <c r="R61" s="1557"/>
      <c r="S61" s="1287"/>
      <c r="T61" s="1287"/>
      <c r="U61" s="1287"/>
      <c r="V61" s="1287"/>
      <c r="W61" s="1557"/>
      <c r="X61" s="1287"/>
      <c r="Y61" s="1287"/>
      <c r="Z61" s="482"/>
      <c r="AA61" s="1287"/>
      <c r="AB61" s="1287"/>
      <c r="AC61" s="1287"/>
      <c r="AD61" s="1287"/>
      <c r="AE61" s="1287"/>
      <c r="AF61" s="1553"/>
      <c r="AG61" s="560"/>
      <c r="AH61" s="560"/>
      <c r="AI61" s="560"/>
      <c r="AJ61" s="560"/>
      <c r="AK61" s="1562">
        <v>11</v>
      </c>
    </row>
    <row r="62" spans="1:37" s="4299" customFormat="1" ht="11.45" customHeight="1">
      <c r="A62" s="913"/>
      <c r="B62" s="913"/>
      <c r="C62" s="913"/>
      <c r="D62" s="913"/>
      <c r="E62" s="913"/>
      <c r="F62" s="1557"/>
      <c r="G62" s="1557"/>
      <c r="H62" s="289"/>
      <c r="N62" s="1287"/>
      <c r="P62" s="1287"/>
      <c r="Q62" s="1557"/>
      <c r="R62" s="1557"/>
      <c r="S62" s="1287"/>
      <c r="T62" s="1287"/>
      <c r="U62" s="1287"/>
      <c r="V62" s="1287"/>
      <c r="W62" s="1557"/>
      <c r="X62" s="1287"/>
      <c r="Y62" s="1287"/>
      <c r="Z62" s="482"/>
      <c r="AA62" s="1287"/>
      <c r="AB62" s="1287"/>
      <c r="AC62" s="1287"/>
      <c r="AD62" s="1287"/>
      <c r="AE62" s="1287"/>
      <c r="AF62" s="1553"/>
      <c r="AG62" s="560"/>
      <c r="AH62" s="560"/>
      <c r="AI62" s="560"/>
      <c r="AJ62" s="560"/>
      <c r="AK62" s="1562">
        <v>11</v>
      </c>
    </row>
    <row r="63" spans="1:37" s="4299" customFormat="1" ht="11.45" customHeight="1">
      <c r="A63" s="913"/>
      <c r="B63" s="913"/>
      <c r="C63" s="913"/>
      <c r="D63" s="913"/>
      <c r="E63" s="913"/>
      <c r="F63" s="1557"/>
      <c r="G63" s="1557"/>
      <c r="H63" s="289"/>
      <c r="N63" s="1287"/>
      <c r="P63" s="1287"/>
      <c r="Q63" s="1557"/>
      <c r="R63" s="1557"/>
      <c r="S63" s="1287"/>
      <c r="T63" s="1287"/>
      <c r="U63" s="1287"/>
      <c r="V63" s="1287"/>
      <c r="W63" s="1557"/>
      <c r="X63" s="1287"/>
      <c r="Y63" s="1287"/>
      <c r="Z63" s="482"/>
      <c r="AA63" s="1287"/>
      <c r="AB63" s="1287"/>
      <c r="AC63" s="1287"/>
      <c r="AD63" s="1287"/>
      <c r="AE63" s="1287"/>
      <c r="AF63" s="1553"/>
      <c r="AG63" s="560"/>
      <c r="AH63" s="560"/>
      <c r="AI63" s="560"/>
      <c r="AJ63" s="560"/>
      <c r="AK63" s="1562">
        <v>11</v>
      </c>
    </row>
    <row r="64" spans="1:37" s="4299" customFormat="1" ht="11.45" customHeight="1">
      <c r="A64" s="913"/>
      <c r="B64" s="913"/>
      <c r="C64" s="913"/>
      <c r="D64" s="913"/>
      <c r="E64" s="913"/>
      <c r="F64" s="1557"/>
      <c r="G64" s="1557"/>
      <c r="H64" s="289"/>
      <c r="N64" s="1287"/>
      <c r="P64" s="1287"/>
      <c r="Q64" s="1557"/>
      <c r="R64" s="1557"/>
      <c r="S64" s="1287"/>
      <c r="T64" s="1287"/>
      <c r="U64" s="1287"/>
      <c r="V64" s="1287"/>
      <c r="W64" s="1557"/>
      <c r="X64" s="1287"/>
      <c r="Y64" s="1287"/>
      <c r="Z64" s="482"/>
      <c r="AA64" s="1287"/>
      <c r="AB64" s="1287"/>
      <c r="AC64" s="1287"/>
      <c r="AD64" s="1287"/>
      <c r="AE64" s="1287"/>
      <c r="AF64" s="1553"/>
      <c r="AG64" s="560"/>
      <c r="AH64" s="560"/>
      <c r="AI64" s="560"/>
      <c r="AJ64" s="560"/>
      <c r="AK64" s="1562">
        <v>11</v>
      </c>
    </row>
    <row r="65" spans="1:37" s="4299" customFormat="1" ht="11.45" customHeight="1">
      <c r="A65" s="913"/>
      <c r="B65" s="913"/>
      <c r="C65" s="913"/>
      <c r="D65" s="913"/>
      <c r="E65" s="913"/>
      <c r="F65" s="1557"/>
      <c r="G65" s="1557"/>
      <c r="H65" s="289"/>
      <c r="N65" s="1287"/>
      <c r="P65" s="1287"/>
      <c r="Q65" s="1557"/>
      <c r="R65" s="1557"/>
      <c r="S65" s="1287"/>
      <c r="T65" s="1287"/>
      <c r="U65" s="1287"/>
      <c r="V65" s="1287"/>
      <c r="W65" s="1557"/>
      <c r="X65" s="1287"/>
      <c r="Y65" s="1287"/>
      <c r="Z65" s="482"/>
      <c r="AA65" s="1287"/>
      <c r="AB65" s="1287"/>
      <c r="AC65" s="1287"/>
      <c r="AD65" s="1287"/>
      <c r="AE65" s="1287"/>
      <c r="AF65" s="1553"/>
      <c r="AG65" s="560"/>
      <c r="AH65" s="560"/>
      <c r="AI65" s="560"/>
      <c r="AJ65" s="560"/>
      <c r="AK65" s="1562">
        <v>11</v>
      </c>
    </row>
    <row r="66" spans="1:37" s="4299" customFormat="1" ht="11.45" customHeight="1">
      <c r="A66" s="913"/>
      <c r="B66" s="913"/>
      <c r="C66" s="913"/>
      <c r="D66" s="913"/>
      <c r="E66" s="913"/>
      <c r="F66" s="1557"/>
      <c r="G66" s="1557"/>
      <c r="H66" s="289"/>
      <c r="N66" s="1287"/>
      <c r="P66" s="1287"/>
      <c r="Q66" s="1557"/>
      <c r="R66" s="1557"/>
      <c r="S66" s="1287"/>
      <c r="T66" s="1287"/>
      <c r="U66" s="1287"/>
      <c r="V66" s="1287"/>
      <c r="W66" s="1557"/>
      <c r="X66" s="1287"/>
      <c r="Y66" s="1287"/>
      <c r="Z66" s="482"/>
      <c r="AA66" s="1287"/>
      <c r="AB66" s="1287"/>
      <c r="AC66" s="1287"/>
      <c r="AD66" s="1287"/>
      <c r="AE66" s="1287"/>
      <c r="AF66" s="1553"/>
      <c r="AG66" s="560"/>
      <c r="AH66" s="560"/>
      <c r="AI66" s="560"/>
      <c r="AJ66" s="560"/>
      <c r="AK66" s="1562">
        <v>11</v>
      </c>
    </row>
    <row r="67" spans="1:37" s="4299" customFormat="1" ht="11.45" customHeight="1">
      <c r="A67" s="913"/>
      <c r="B67" s="913"/>
      <c r="C67" s="913"/>
      <c r="D67" s="913"/>
      <c r="E67" s="913"/>
      <c r="F67" s="1557"/>
      <c r="G67" s="1557"/>
      <c r="H67" s="289"/>
      <c r="N67" s="1287"/>
      <c r="P67" s="1287"/>
      <c r="Q67" s="1557"/>
      <c r="R67" s="1557"/>
      <c r="S67" s="1287"/>
      <c r="T67" s="1287"/>
      <c r="U67" s="1287"/>
      <c r="V67" s="1287"/>
      <c r="W67" s="1557"/>
      <c r="X67" s="1287"/>
      <c r="Y67" s="1287"/>
      <c r="Z67" s="482"/>
      <c r="AA67" s="1287"/>
      <c r="AB67" s="1287"/>
      <c r="AC67" s="1287"/>
      <c r="AD67" s="1287"/>
      <c r="AE67" s="1287"/>
      <c r="AF67" s="1553"/>
      <c r="AG67" s="560"/>
      <c r="AH67" s="560"/>
      <c r="AI67" s="560"/>
      <c r="AJ67" s="560"/>
      <c r="AK67" s="1562">
        <v>11</v>
      </c>
    </row>
    <row r="68" spans="1:37" s="4299" customFormat="1" ht="11.45" customHeight="1">
      <c r="A68" s="913"/>
      <c r="B68" s="913"/>
      <c r="C68" s="913"/>
      <c r="D68" s="913"/>
      <c r="E68" s="913"/>
      <c r="F68" s="1557"/>
      <c r="G68" s="1557"/>
      <c r="H68" s="289"/>
      <c r="N68" s="1287"/>
      <c r="P68" s="1287"/>
      <c r="Q68" s="1557"/>
      <c r="R68" s="1557"/>
      <c r="S68" s="1287"/>
      <c r="T68" s="1287"/>
      <c r="U68" s="1287"/>
      <c r="V68" s="1287"/>
      <c r="W68" s="1557"/>
      <c r="X68" s="1287"/>
      <c r="Y68" s="1287"/>
      <c r="Z68" s="482"/>
      <c r="AA68" s="1287"/>
      <c r="AB68" s="1287"/>
      <c r="AC68" s="1287"/>
      <c r="AD68" s="1287"/>
      <c r="AE68" s="1287"/>
      <c r="AF68" s="1553"/>
      <c r="AG68" s="560"/>
      <c r="AH68" s="560"/>
      <c r="AI68" s="560"/>
      <c r="AJ68" s="560"/>
      <c r="AK68" s="1562">
        <v>11</v>
      </c>
    </row>
    <row r="69" spans="1:37" s="4299" customFormat="1" ht="11.45" customHeight="1">
      <c r="A69" s="913"/>
      <c r="B69" s="913"/>
      <c r="C69" s="913"/>
      <c r="D69" s="913"/>
      <c r="E69" s="913"/>
      <c r="F69" s="1557"/>
      <c r="G69" s="1557"/>
      <c r="H69" s="289"/>
      <c r="N69" s="1287"/>
      <c r="P69" s="1287"/>
      <c r="Q69" s="1557"/>
      <c r="R69" s="1557"/>
      <c r="S69" s="1287"/>
      <c r="T69" s="1287"/>
      <c r="U69" s="1287"/>
      <c r="V69" s="1287"/>
      <c r="W69" s="1557"/>
      <c r="X69" s="1287"/>
      <c r="Y69" s="1287"/>
      <c r="Z69" s="482"/>
      <c r="AA69" s="1287"/>
      <c r="AB69" s="1287"/>
      <c r="AC69" s="1287"/>
      <c r="AD69" s="1287"/>
      <c r="AE69" s="1287"/>
      <c r="AF69" s="1553"/>
      <c r="AG69" s="560"/>
      <c r="AH69" s="560"/>
      <c r="AI69" s="560"/>
      <c r="AJ69" s="560"/>
      <c r="AK69" s="1562">
        <v>11</v>
      </c>
    </row>
    <row r="70" spans="1:37" s="4299" customFormat="1" ht="11.45" customHeight="1">
      <c r="A70" s="913"/>
      <c r="B70" s="913"/>
      <c r="C70" s="913"/>
      <c r="D70" s="913"/>
      <c r="E70" s="913"/>
      <c r="F70" s="1557"/>
      <c r="G70" s="1557"/>
      <c r="H70" s="289"/>
      <c r="N70" s="1287"/>
      <c r="P70" s="1287"/>
      <c r="Q70" s="1557"/>
      <c r="R70" s="1557"/>
      <c r="S70" s="1287"/>
      <c r="T70" s="1287"/>
      <c r="U70" s="1287"/>
      <c r="V70" s="1287"/>
      <c r="W70" s="1557"/>
      <c r="X70" s="1287"/>
      <c r="Y70" s="1287"/>
      <c r="Z70" s="482"/>
      <c r="AA70" s="1287"/>
      <c r="AB70" s="1287"/>
      <c r="AC70" s="1287"/>
      <c r="AD70" s="1287"/>
      <c r="AE70" s="1287"/>
      <c r="AF70" s="1553"/>
      <c r="AG70" s="560"/>
      <c r="AH70" s="560"/>
      <c r="AI70" s="560"/>
      <c r="AJ70" s="560"/>
      <c r="AK70" s="1562">
        <v>11</v>
      </c>
    </row>
    <row r="71" spans="1:37" s="4299" customFormat="1" ht="11.45" customHeight="1">
      <c r="A71" s="913"/>
      <c r="B71" s="913"/>
      <c r="C71" s="913"/>
      <c r="D71" s="913"/>
      <c r="E71" s="913"/>
      <c r="F71" s="1557"/>
      <c r="G71" s="1557"/>
      <c r="H71" s="289"/>
      <c r="N71" s="1287"/>
      <c r="P71" s="1287"/>
      <c r="Q71" s="1557"/>
      <c r="R71" s="1557"/>
      <c r="S71" s="1287"/>
      <c r="T71" s="1287"/>
      <c r="U71" s="1287"/>
      <c r="V71" s="1287"/>
      <c r="W71" s="1557"/>
      <c r="X71" s="1287"/>
      <c r="Y71" s="1287"/>
      <c r="Z71" s="482"/>
      <c r="AA71" s="1287"/>
      <c r="AB71" s="1287"/>
      <c r="AC71" s="1287"/>
      <c r="AD71" s="1287"/>
      <c r="AE71" s="1287"/>
      <c r="AF71" s="1553"/>
      <c r="AG71" s="560"/>
      <c r="AH71" s="560"/>
      <c r="AI71" s="560"/>
      <c r="AJ71" s="560"/>
      <c r="AK71" s="1562">
        <v>11</v>
      </c>
    </row>
    <row r="72" spans="1:37" s="4299" customFormat="1" ht="11.45" customHeight="1">
      <c r="A72" s="913"/>
      <c r="B72" s="913"/>
      <c r="C72" s="913"/>
      <c r="D72" s="913"/>
      <c r="E72" s="913"/>
      <c r="F72" s="1557"/>
      <c r="G72" s="1557"/>
      <c r="H72" s="289"/>
      <c r="N72" s="1287"/>
      <c r="P72" s="1287"/>
      <c r="Q72" s="1557"/>
      <c r="R72" s="1557"/>
      <c r="S72" s="1287"/>
      <c r="T72" s="1287"/>
      <c r="U72" s="1287"/>
      <c r="V72" s="1287"/>
      <c r="W72" s="1557"/>
      <c r="X72" s="1287"/>
      <c r="Y72" s="1287"/>
      <c r="Z72" s="482"/>
      <c r="AA72" s="1287"/>
      <c r="AB72" s="1287"/>
      <c r="AC72" s="1287"/>
      <c r="AD72" s="1287"/>
      <c r="AE72" s="1287"/>
      <c r="AF72" s="1553"/>
      <c r="AG72" s="560"/>
      <c r="AH72" s="560"/>
      <c r="AI72" s="560"/>
      <c r="AJ72" s="560"/>
      <c r="AK72" s="1562">
        <v>11</v>
      </c>
    </row>
    <row r="73" spans="1:37" s="4299" customFormat="1" ht="11.45" customHeight="1">
      <c r="A73" s="913"/>
      <c r="B73" s="913"/>
      <c r="C73" s="913"/>
      <c r="D73" s="913"/>
      <c r="E73" s="913"/>
      <c r="F73" s="1557"/>
      <c r="G73" s="1557"/>
      <c r="H73" s="289"/>
      <c r="N73" s="1287"/>
      <c r="P73" s="1287"/>
      <c r="Q73" s="1557"/>
      <c r="R73" s="1557"/>
      <c r="S73" s="1287"/>
      <c r="T73" s="1287"/>
      <c r="U73" s="1287"/>
      <c r="V73" s="1287"/>
      <c r="W73" s="1557"/>
      <c r="X73" s="1287"/>
      <c r="Y73" s="1287"/>
      <c r="Z73" s="482"/>
      <c r="AA73" s="1287"/>
      <c r="AB73" s="1287"/>
      <c r="AC73" s="1287"/>
      <c r="AD73" s="1287"/>
      <c r="AE73" s="1287"/>
      <c r="AF73" s="1553"/>
      <c r="AG73" s="560"/>
      <c r="AH73" s="560"/>
      <c r="AI73" s="560"/>
      <c r="AJ73" s="560"/>
      <c r="AK73" s="1562">
        <v>11</v>
      </c>
    </row>
    <row r="74" spans="1:37" s="4299" customFormat="1" ht="11.45" customHeight="1">
      <c r="A74" s="913"/>
      <c r="B74" s="913"/>
      <c r="C74" s="913"/>
      <c r="D74" s="913"/>
      <c r="E74" s="913"/>
      <c r="F74" s="1557"/>
      <c r="G74" s="1557"/>
      <c r="H74" s="289"/>
      <c r="N74" s="1287"/>
      <c r="P74" s="1287"/>
      <c r="Q74" s="1557"/>
      <c r="R74" s="1557"/>
      <c r="S74" s="1287"/>
      <c r="T74" s="1287"/>
      <c r="U74" s="1287"/>
      <c r="V74" s="1287"/>
      <c r="W74" s="1557"/>
      <c r="X74" s="1287"/>
      <c r="Y74" s="1287"/>
      <c r="Z74" s="482"/>
      <c r="AA74" s="1287"/>
      <c r="AB74" s="1287"/>
      <c r="AC74" s="1287"/>
      <c r="AD74" s="1287"/>
      <c r="AE74" s="1287"/>
      <c r="AF74" s="1553"/>
      <c r="AG74" s="560"/>
      <c r="AH74" s="560"/>
      <c r="AI74" s="560"/>
      <c r="AJ74" s="560"/>
      <c r="AK74" s="1562">
        <v>11</v>
      </c>
    </row>
    <row r="75" spans="1:37" s="4299" customFormat="1" ht="11.45" customHeight="1">
      <c r="A75" s="913"/>
      <c r="B75" s="913"/>
      <c r="C75" s="913"/>
      <c r="D75" s="913"/>
      <c r="E75" s="913"/>
      <c r="F75" s="1557"/>
      <c r="G75" s="1557"/>
      <c r="H75" s="289"/>
      <c r="N75" s="1287"/>
      <c r="P75" s="1287"/>
      <c r="Q75" s="1557"/>
      <c r="R75" s="1557"/>
      <c r="S75" s="1287"/>
      <c r="T75" s="1287"/>
      <c r="U75" s="1287"/>
      <c r="V75" s="1287"/>
      <c r="W75" s="1557"/>
      <c r="X75" s="1287"/>
      <c r="Y75" s="1287"/>
      <c r="Z75" s="482"/>
      <c r="AA75" s="1287"/>
      <c r="AB75" s="1287"/>
      <c r="AC75" s="1287"/>
      <c r="AD75" s="1287"/>
      <c r="AE75" s="1287"/>
      <c r="AF75" s="1553"/>
      <c r="AG75" s="560"/>
      <c r="AH75" s="560"/>
      <c r="AI75" s="560"/>
      <c r="AJ75" s="560"/>
      <c r="AK75" s="1562">
        <v>11</v>
      </c>
    </row>
    <row r="76" spans="1:37" s="4299" customFormat="1" ht="11.45" customHeight="1">
      <c r="A76" s="913"/>
      <c r="B76" s="913"/>
      <c r="C76" s="913"/>
      <c r="D76" s="913"/>
      <c r="E76" s="913"/>
      <c r="F76" s="1557"/>
      <c r="G76" s="1557"/>
      <c r="H76" s="289"/>
      <c r="N76" s="1287"/>
      <c r="P76" s="1287"/>
      <c r="Q76" s="1557"/>
      <c r="R76" s="1557"/>
      <c r="S76" s="1287"/>
      <c r="T76" s="1287"/>
      <c r="U76" s="1287"/>
      <c r="V76" s="1287"/>
      <c r="W76" s="1557"/>
      <c r="X76" s="1287"/>
      <c r="Y76" s="1287"/>
      <c r="Z76" s="482"/>
      <c r="AA76" s="1287"/>
      <c r="AB76" s="1287"/>
      <c r="AC76" s="1287"/>
      <c r="AD76" s="1287"/>
      <c r="AE76" s="1287"/>
      <c r="AF76" s="1553"/>
      <c r="AG76" s="560"/>
      <c r="AH76" s="560"/>
      <c r="AI76" s="560"/>
      <c r="AJ76" s="560"/>
      <c r="AK76" s="1562">
        <v>11</v>
      </c>
    </row>
    <row r="77" spans="1:37" s="4299" customFormat="1" ht="11.45" customHeight="1">
      <c r="A77" s="913"/>
      <c r="B77" s="913"/>
      <c r="C77" s="913"/>
      <c r="D77" s="913"/>
      <c r="E77" s="913"/>
      <c r="F77" s="1557"/>
      <c r="G77" s="1557"/>
      <c r="H77" s="289"/>
      <c r="N77" s="1287"/>
      <c r="P77" s="1287"/>
      <c r="Q77" s="1557"/>
      <c r="R77" s="1557"/>
      <c r="S77" s="1287"/>
      <c r="T77" s="1287"/>
      <c r="U77" s="1287"/>
      <c r="V77" s="1287"/>
      <c r="W77" s="1557"/>
      <c r="X77" s="1287"/>
      <c r="Y77" s="1287"/>
      <c r="Z77" s="482"/>
      <c r="AA77" s="1287"/>
      <c r="AB77" s="1287"/>
      <c r="AC77" s="1287"/>
      <c r="AD77" s="1287"/>
      <c r="AE77" s="1287"/>
      <c r="AF77" s="1553"/>
      <c r="AG77" s="560"/>
      <c r="AH77" s="560"/>
      <c r="AI77" s="560"/>
      <c r="AJ77" s="560"/>
      <c r="AK77" s="1562">
        <v>11</v>
      </c>
    </row>
    <row r="78" spans="1:37" s="4299" customFormat="1" ht="11.45" customHeight="1">
      <c r="A78" s="913"/>
      <c r="B78" s="913"/>
      <c r="C78" s="913"/>
      <c r="D78" s="913"/>
      <c r="E78" s="913"/>
      <c r="F78" s="1557"/>
      <c r="G78" s="1557"/>
      <c r="H78" s="289"/>
      <c r="N78" s="1287"/>
      <c r="P78" s="1287"/>
      <c r="Q78" s="1557"/>
      <c r="R78" s="1557"/>
      <c r="S78" s="1287"/>
      <c r="T78" s="1287"/>
      <c r="U78" s="1287"/>
      <c r="V78" s="1287"/>
      <c r="W78" s="1557"/>
      <c r="X78" s="1287"/>
      <c r="Y78" s="1287"/>
      <c r="Z78" s="482"/>
      <c r="AA78" s="1287"/>
      <c r="AB78" s="1287"/>
      <c r="AC78" s="1287"/>
      <c r="AD78" s="1287"/>
      <c r="AE78" s="1287"/>
      <c r="AF78" s="1553"/>
      <c r="AG78" s="560"/>
      <c r="AH78" s="560"/>
      <c r="AI78" s="560"/>
      <c r="AJ78" s="560"/>
      <c r="AK78" s="1562">
        <v>11</v>
      </c>
    </row>
    <row r="79" spans="1:37" s="4299" customFormat="1" ht="11.45" customHeight="1">
      <c r="A79" s="913"/>
      <c r="B79" s="913"/>
      <c r="C79" s="913"/>
      <c r="D79" s="913"/>
      <c r="E79" s="913"/>
      <c r="F79" s="1557"/>
      <c r="G79" s="1557"/>
      <c r="H79" s="289"/>
      <c r="N79" s="1287"/>
      <c r="P79" s="1287"/>
      <c r="Q79" s="1557"/>
      <c r="R79" s="1557"/>
      <c r="S79" s="1287"/>
      <c r="T79" s="1287"/>
      <c r="U79" s="1287"/>
      <c r="V79" s="1287"/>
      <c r="W79" s="1557"/>
      <c r="X79" s="1287"/>
      <c r="Y79" s="1287"/>
      <c r="Z79" s="482"/>
      <c r="AA79" s="1287"/>
      <c r="AB79" s="1287"/>
      <c r="AC79" s="1287"/>
      <c r="AD79" s="1287"/>
      <c r="AE79" s="1287"/>
      <c r="AF79" s="1553"/>
      <c r="AG79" s="560"/>
      <c r="AH79" s="560"/>
      <c r="AI79" s="560"/>
      <c r="AJ79" s="560"/>
      <c r="AK79" s="1562">
        <v>11</v>
      </c>
    </row>
    <row r="80" spans="1:37" s="4299" customFormat="1" ht="11.45" customHeight="1">
      <c r="A80" s="913"/>
      <c r="B80" s="913"/>
      <c r="C80" s="913"/>
      <c r="D80" s="913"/>
      <c r="E80" s="913"/>
      <c r="F80" s="1557"/>
      <c r="G80" s="1557"/>
      <c r="H80" s="289"/>
      <c r="N80" s="1287"/>
      <c r="P80" s="1287"/>
      <c r="Q80" s="1557"/>
      <c r="R80" s="1557"/>
      <c r="S80" s="1287"/>
      <c r="T80" s="1287"/>
      <c r="U80" s="1287"/>
      <c r="V80" s="1287"/>
      <c r="W80" s="1557"/>
      <c r="X80" s="1287"/>
      <c r="Y80" s="1287"/>
      <c r="Z80" s="482"/>
      <c r="AA80" s="1287"/>
      <c r="AB80" s="1287"/>
      <c r="AC80" s="1287"/>
      <c r="AD80" s="1287"/>
      <c r="AE80" s="1287"/>
      <c r="AF80" s="1553"/>
      <c r="AG80" s="560"/>
      <c r="AH80" s="560"/>
      <c r="AI80" s="560"/>
      <c r="AJ80" s="560"/>
      <c r="AK80" s="1562">
        <v>11</v>
      </c>
    </row>
    <row r="81" spans="1:37" s="4299" customFormat="1" ht="11.45" customHeight="1">
      <c r="A81" s="913"/>
      <c r="B81" s="913"/>
      <c r="C81" s="913"/>
      <c r="D81" s="913"/>
      <c r="E81" s="913"/>
      <c r="F81" s="1557"/>
      <c r="G81" s="1557"/>
      <c r="H81" s="289"/>
      <c r="N81" s="1287"/>
      <c r="P81" s="1287"/>
      <c r="Q81" s="1557"/>
      <c r="R81" s="1557"/>
      <c r="S81" s="1287"/>
      <c r="T81" s="1287"/>
      <c r="U81" s="1287"/>
      <c r="V81" s="1287"/>
      <c r="W81" s="1557"/>
      <c r="X81" s="1287"/>
      <c r="Y81" s="1287"/>
      <c r="Z81" s="482"/>
      <c r="AA81" s="1287"/>
      <c r="AB81" s="1287"/>
      <c r="AC81" s="1287"/>
      <c r="AD81" s="1287"/>
      <c r="AE81" s="1287"/>
      <c r="AF81" s="1553"/>
      <c r="AG81" s="560"/>
      <c r="AH81" s="560"/>
      <c r="AI81" s="560"/>
      <c r="AJ81" s="560"/>
      <c r="AK81" s="1562">
        <v>11</v>
      </c>
    </row>
    <row r="82" spans="1:37" s="4299" customFormat="1" ht="11.45" customHeight="1">
      <c r="A82" s="913"/>
      <c r="B82" s="913"/>
      <c r="C82" s="913"/>
      <c r="D82" s="913"/>
      <c r="E82" s="913"/>
      <c r="F82" s="1557"/>
      <c r="G82" s="1557"/>
      <c r="H82" s="289"/>
      <c r="N82" s="1287"/>
      <c r="P82" s="1287"/>
      <c r="Q82" s="1557"/>
      <c r="R82" s="1557"/>
      <c r="S82" s="1287"/>
      <c r="T82" s="1287"/>
      <c r="U82" s="1287"/>
      <c r="V82" s="1287"/>
      <c r="W82" s="1557"/>
      <c r="X82" s="1287"/>
      <c r="Y82" s="1287"/>
      <c r="Z82" s="482"/>
      <c r="AA82" s="1287"/>
      <c r="AB82" s="1287"/>
      <c r="AC82" s="1287"/>
      <c r="AD82" s="1287"/>
      <c r="AE82" s="1287"/>
      <c r="AF82" s="1553"/>
      <c r="AG82" s="560"/>
      <c r="AH82" s="560"/>
      <c r="AI82" s="560"/>
      <c r="AJ82" s="560"/>
      <c r="AK82" s="1562">
        <v>11</v>
      </c>
    </row>
    <row r="83" spans="1:37" s="4299" customFormat="1" ht="11.45" customHeight="1">
      <c r="A83" s="913"/>
      <c r="B83" s="913"/>
      <c r="C83" s="913"/>
      <c r="D83" s="913"/>
      <c r="E83" s="913"/>
      <c r="F83" s="1557"/>
      <c r="G83" s="1557"/>
      <c r="H83" s="289"/>
      <c r="N83" s="1287"/>
      <c r="P83" s="1287"/>
      <c r="Q83" s="1557"/>
      <c r="R83" s="1557"/>
      <c r="S83" s="1287"/>
      <c r="T83" s="1287"/>
      <c r="U83" s="1287"/>
      <c r="V83" s="1287"/>
      <c r="W83" s="1557"/>
      <c r="X83" s="1287"/>
      <c r="Y83" s="1287"/>
      <c r="Z83" s="482"/>
      <c r="AA83" s="1287"/>
      <c r="AB83" s="1287"/>
      <c r="AC83" s="1287"/>
      <c r="AD83" s="1287"/>
      <c r="AE83" s="1287"/>
      <c r="AF83" s="1553"/>
      <c r="AG83" s="560"/>
      <c r="AH83" s="560"/>
      <c r="AI83" s="560"/>
      <c r="AJ83" s="560"/>
      <c r="AK83" s="1562">
        <v>11</v>
      </c>
    </row>
    <row r="84" spans="1:37" s="4299" customFormat="1" ht="11.45" customHeight="1">
      <c r="A84" s="913"/>
      <c r="B84" s="913"/>
      <c r="C84" s="913"/>
      <c r="D84" s="913"/>
      <c r="E84" s="913"/>
      <c r="F84" s="1557"/>
      <c r="G84" s="1557"/>
      <c r="H84" s="289"/>
      <c r="N84" s="1287"/>
      <c r="P84" s="1287"/>
      <c r="Q84" s="1557"/>
      <c r="R84" s="1557"/>
      <c r="S84" s="1287"/>
      <c r="T84" s="1287"/>
      <c r="U84" s="1287"/>
      <c r="V84" s="1287"/>
      <c r="W84" s="1557"/>
      <c r="X84" s="1287"/>
      <c r="Y84" s="1287"/>
      <c r="Z84" s="482"/>
      <c r="AA84" s="1287"/>
      <c r="AB84" s="1287"/>
      <c r="AC84" s="1287"/>
      <c r="AD84" s="1287"/>
      <c r="AE84" s="1287"/>
      <c r="AF84" s="1553"/>
      <c r="AG84" s="560"/>
      <c r="AH84" s="560"/>
      <c r="AI84" s="560"/>
      <c r="AJ84" s="560"/>
      <c r="AK84" s="1562">
        <v>11</v>
      </c>
    </row>
    <row r="85" spans="1:37" s="4299" customFormat="1" ht="11.45" customHeight="1">
      <c r="A85" s="913"/>
      <c r="B85" s="913"/>
      <c r="C85" s="913"/>
      <c r="D85" s="913"/>
      <c r="E85" s="913"/>
      <c r="F85" s="1557"/>
      <c r="G85" s="1557"/>
      <c r="H85" s="289"/>
      <c r="N85" s="1287"/>
      <c r="P85" s="1287"/>
      <c r="Q85" s="1557"/>
      <c r="R85" s="1557"/>
      <c r="S85" s="1287"/>
      <c r="T85" s="1287"/>
      <c r="U85" s="1287"/>
      <c r="V85" s="1287"/>
      <c r="W85" s="1557"/>
      <c r="X85" s="1287"/>
      <c r="Y85" s="1287"/>
      <c r="Z85" s="482"/>
      <c r="AA85" s="1287"/>
      <c r="AB85" s="1287"/>
      <c r="AC85" s="1287"/>
      <c r="AD85" s="1287"/>
      <c r="AE85" s="1287"/>
      <c r="AF85" s="1553"/>
      <c r="AG85" s="560"/>
      <c r="AH85" s="560"/>
      <c r="AI85" s="560"/>
      <c r="AJ85" s="560"/>
      <c r="AK85" s="1562">
        <v>11</v>
      </c>
    </row>
    <row r="86" spans="1:37" s="4299" customFormat="1" ht="11.45" customHeight="1">
      <c r="A86" s="913"/>
      <c r="B86" s="913"/>
      <c r="C86" s="913"/>
      <c r="D86" s="913"/>
      <c r="E86" s="913"/>
      <c r="F86" s="1557"/>
      <c r="G86" s="1557"/>
      <c r="H86" s="289"/>
      <c r="N86" s="1287"/>
      <c r="P86" s="1287"/>
      <c r="Q86" s="1557"/>
      <c r="R86" s="1557"/>
      <c r="S86" s="1287"/>
      <c r="T86" s="1287"/>
      <c r="U86" s="1287"/>
      <c r="V86" s="1287"/>
      <c r="W86" s="1557"/>
      <c r="X86" s="1287"/>
      <c r="Y86" s="1287"/>
      <c r="Z86" s="482"/>
      <c r="AA86" s="1287"/>
      <c r="AB86" s="1287"/>
      <c r="AC86" s="1287"/>
      <c r="AD86" s="1287"/>
      <c r="AE86" s="1287"/>
      <c r="AF86" s="1553"/>
      <c r="AG86" s="560"/>
      <c r="AH86" s="560"/>
      <c r="AI86" s="560"/>
      <c r="AJ86" s="560"/>
      <c r="AK86" s="1562">
        <v>11</v>
      </c>
    </row>
    <row r="87" spans="1:37" s="4299" customFormat="1" ht="11.45" customHeight="1">
      <c r="A87" s="913"/>
      <c r="B87" s="913"/>
      <c r="C87" s="913"/>
      <c r="D87" s="913"/>
      <c r="E87" s="913"/>
      <c r="F87" s="1557"/>
      <c r="G87" s="1557"/>
      <c r="H87" s="289"/>
      <c r="N87" s="1287"/>
      <c r="P87" s="1287"/>
      <c r="Q87" s="1557"/>
      <c r="R87" s="1557"/>
      <c r="S87" s="1287"/>
      <c r="T87" s="1287"/>
      <c r="U87" s="1287"/>
      <c r="V87" s="1287"/>
      <c r="W87" s="1557"/>
      <c r="X87" s="1287"/>
      <c r="Y87" s="1287"/>
      <c r="Z87" s="482"/>
      <c r="AA87" s="1287"/>
      <c r="AB87" s="1287"/>
      <c r="AC87" s="1287"/>
      <c r="AD87" s="1287"/>
      <c r="AE87" s="1287"/>
      <c r="AF87" s="1553"/>
      <c r="AG87" s="560"/>
      <c r="AH87" s="560"/>
      <c r="AI87" s="560"/>
      <c r="AJ87" s="560"/>
      <c r="AK87" s="1562">
        <v>11</v>
      </c>
    </row>
    <row r="88" spans="1:37" s="4299" customFormat="1" ht="11.45" customHeight="1">
      <c r="A88" s="913"/>
      <c r="B88" s="913"/>
      <c r="C88" s="913"/>
      <c r="D88" s="913"/>
      <c r="E88" s="913"/>
      <c r="F88" s="1557"/>
      <c r="G88" s="1557"/>
      <c r="H88" s="289"/>
      <c r="N88" s="1287"/>
      <c r="P88" s="1287"/>
      <c r="Q88" s="1557"/>
      <c r="R88" s="1557"/>
      <c r="S88" s="1287"/>
      <c r="T88" s="1287"/>
      <c r="U88" s="1287"/>
      <c r="V88" s="1287"/>
      <c r="W88" s="1557"/>
      <c r="X88" s="1287"/>
      <c r="Y88" s="1287"/>
      <c r="Z88" s="482"/>
      <c r="AA88" s="1287"/>
      <c r="AB88" s="1287"/>
      <c r="AC88" s="1287"/>
      <c r="AD88" s="1287"/>
      <c r="AE88" s="1287"/>
      <c r="AF88" s="1553"/>
      <c r="AG88" s="560"/>
      <c r="AH88" s="560"/>
      <c r="AI88" s="560"/>
      <c r="AJ88" s="560"/>
      <c r="AK88" s="1562">
        <v>11</v>
      </c>
    </row>
    <row r="89" spans="1:37" s="4299" customFormat="1" ht="11.45" customHeight="1">
      <c r="A89" s="913"/>
      <c r="B89" s="913"/>
      <c r="C89" s="913"/>
      <c r="D89" s="913"/>
      <c r="E89" s="913"/>
      <c r="F89" s="1557"/>
      <c r="G89" s="1557"/>
      <c r="H89" s="289"/>
      <c r="N89" s="1287"/>
      <c r="P89" s="1287"/>
      <c r="Q89" s="1557"/>
      <c r="R89" s="1557"/>
      <c r="S89" s="1287"/>
      <c r="T89" s="1287"/>
      <c r="U89" s="1287"/>
      <c r="V89" s="1287"/>
      <c r="W89" s="1557"/>
      <c r="X89" s="1287"/>
      <c r="Y89" s="1287"/>
      <c r="Z89" s="482"/>
      <c r="AA89" s="1287"/>
      <c r="AB89" s="1287"/>
      <c r="AC89" s="1287"/>
      <c r="AD89" s="1287"/>
      <c r="AE89" s="1287"/>
      <c r="AF89" s="1553"/>
      <c r="AG89" s="560"/>
      <c r="AH89" s="560"/>
      <c r="AI89" s="560"/>
      <c r="AJ89" s="560"/>
      <c r="AK89" s="1562">
        <v>11</v>
      </c>
    </row>
    <row r="90" spans="1:37" s="4299" customFormat="1" ht="11.45" customHeight="1">
      <c r="A90" s="913"/>
      <c r="B90" s="913"/>
      <c r="C90" s="913"/>
      <c r="D90" s="913"/>
      <c r="E90" s="913"/>
      <c r="F90" s="1557"/>
      <c r="G90" s="1557"/>
      <c r="H90" s="289"/>
      <c r="N90" s="1287"/>
      <c r="P90" s="1287"/>
      <c r="Q90" s="1557"/>
      <c r="R90" s="1557"/>
      <c r="S90" s="1287"/>
      <c r="T90" s="1287"/>
      <c r="U90" s="1287"/>
      <c r="V90" s="1287"/>
      <c r="W90" s="1557"/>
      <c r="X90" s="1287"/>
      <c r="Y90" s="1287"/>
      <c r="Z90" s="482"/>
      <c r="AA90" s="1287"/>
      <c r="AB90" s="1287"/>
      <c r="AC90" s="1287"/>
      <c r="AD90" s="1287"/>
      <c r="AE90" s="1287"/>
      <c r="AF90" s="1553"/>
      <c r="AG90" s="560"/>
      <c r="AH90" s="560"/>
      <c r="AI90" s="560"/>
      <c r="AJ90" s="560"/>
      <c r="AK90" s="1562">
        <v>11</v>
      </c>
    </row>
    <row r="91" spans="1:37" s="4299" customFormat="1" ht="11.45" customHeight="1">
      <c r="A91" s="913"/>
      <c r="B91" s="913"/>
      <c r="C91" s="913"/>
      <c r="D91" s="913"/>
      <c r="E91" s="913"/>
      <c r="F91" s="1557"/>
      <c r="G91" s="1557"/>
      <c r="H91" s="289"/>
      <c r="N91" s="1287"/>
      <c r="P91" s="1287"/>
      <c r="Q91" s="1557"/>
      <c r="R91" s="1557"/>
      <c r="S91" s="1287"/>
      <c r="T91" s="1287"/>
      <c r="U91" s="1287"/>
      <c r="V91" s="1287"/>
      <c r="W91" s="1557"/>
      <c r="X91" s="1287"/>
      <c r="Y91" s="1287"/>
      <c r="Z91" s="482"/>
      <c r="AA91" s="1287"/>
      <c r="AB91" s="1287"/>
      <c r="AC91" s="1287"/>
      <c r="AD91" s="1287"/>
      <c r="AE91" s="1287"/>
      <c r="AF91" s="1553"/>
      <c r="AG91" s="560"/>
      <c r="AH91" s="560"/>
      <c r="AI91" s="560"/>
      <c r="AJ91" s="560"/>
      <c r="AK91" s="1562">
        <v>11</v>
      </c>
    </row>
    <row r="92" spans="1:37" s="4299" customFormat="1" ht="11.45" customHeight="1">
      <c r="A92" s="913"/>
      <c r="B92" s="913"/>
      <c r="C92" s="913"/>
      <c r="D92" s="913"/>
      <c r="E92" s="913"/>
      <c r="F92" s="1557"/>
      <c r="G92" s="1557"/>
      <c r="H92" s="289"/>
      <c r="N92" s="1287"/>
      <c r="P92" s="1287"/>
      <c r="Q92" s="1557"/>
      <c r="R92" s="1557"/>
      <c r="S92" s="1287"/>
      <c r="T92" s="1287"/>
      <c r="U92" s="1287"/>
      <c r="V92" s="1287"/>
      <c r="W92" s="1557"/>
      <c r="X92" s="1287"/>
      <c r="Y92" s="1287"/>
      <c r="Z92" s="482"/>
      <c r="AA92" s="1287"/>
      <c r="AB92" s="1287"/>
      <c r="AC92" s="1287"/>
      <c r="AD92" s="1287"/>
      <c r="AE92" s="1287"/>
      <c r="AF92" s="1553"/>
      <c r="AG92" s="560"/>
      <c r="AH92" s="560"/>
      <c r="AI92" s="560"/>
      <c r="AJ92" s="560"/>
      <c r="AK92" s="1562">
        <v>11</v>
      </c>
    </row>
    <row r="93" spans="1:37" s="4299" customFormat="1" ht="11.45" customHeight="1">
      <c r="A93" s="913"/>
      <c r="B93" s="913"/>
      <c r="C93" s="913"/>
      <c r="D93" s="913"/>
      <c r="E93" s="913"/>
      <c r="F93" s="1557"/>
      <c r="G93" s="1557"/>
      <c r="H93" s="289"/>
      <c r="N93" s="1287"/>
      <c r="P93" s="1287"/>
      <c r="Q93" s="1557"/>
      <c r="R93" s="1557"/>
      <c r="S93" s="1287"/>
      <c r="T93" s="1287"/>
      <c r="U93" s="1287"/>
      <c r="V93" s="1287"/>
      <c r="W93" s="1557"/>
      <c r="X93" s="1287"/>
      <c r="Y93" s="1287"/>
      <c r="Z93" s="482"/>
      <c r="AA93" s="1287"/>
      <c r="AB93" s="1287"/>
      <c r="AC93" s="1287"/>
      <c r="AD93" s="1287"/>
      <c r="AE93" s="1287"/>
      <c r="AF93" s="1553"/>
      <c r="AG93" s="560"/>
      <c r="AH93" s="560"/>
      <c r="AI93" s="560"/>
      <c r="AJ93" s="560"/>
      <c r="AK93" s="1562">
        <v>11</v>
      </c>
    </row>
    <row r="94" spans="1:37" s="4299" customFormat="1" ht="11.45" customHeight="1">
      <c r="A94" s="913"/>
      <c r="B94" s="913"/>
      <c r="C94" s="913"/>
      <c r="D94" s="913"/>
      <c r="E94" s="913"/>
      <c r="F94" s="1557"/>
      <c r="G94" s="1557"/>
      <c r="H94" s="289"/>
      <c r="N94" s="1287"/>
      <c r="P94" s="1287"/>
      <c r="Q94" s="1557"/>
      <c r="R94" s="1557"/>
      <c r="S94" s="1287"/>
      <c r="T94" s="1287"/>
      <c r="U94" s="1287"/>
      <c r="V94" s="1287"/>
      <c r="W94" s="1557"/>
      <c r="X94" s="1287"/>
      <c r="Y94" s="1287"/>
      <c r="Z94" s="482"/>
      <c r="AA94" s="1287"/>
      <c r="AB94" s="1287"/>
      <c r="AC94" s="1287"/>
      <c r="AD94" s="1287"/>
      <c r="AE94" s="1287"/>
      <c r="AF94" s="1553"/>
      <c r="AG94" s="560"/>
      <c r="AH94" s="560"/>
      <c r="AI94" s="560"/>
      <c r="AJ94" s="560"/>
      <c r="AK94" s="1562">
        <v>11</v>
      </c>
    </row>
    <row r="95" spans="1:37" s="4299" customFormat="1" ht="11.45" customHeight="1">
      <c r="A95" s="913"/>
      <c r="B95" s="913"/>
      <c r="C95" s="913"/>
      <c r="D95" s="913"/>
      <c r="E95" s="913"/>
      <c r="F95" s="1557"/>
      <c r="G95" s="1557"/>
      <c r="H95" s="289"/>
      <c r="N95" s="1287"/>
      <c r="P95" s="1287"/>
      <c r="Q95" s="1557"/>
      <c r="R95" s="1557"/>
      <c r="S95" s="1287"/>
      <c r="T95" s="1287"/>
      <c r="U95" s="1287"/>
      <c r="V95" s="1287"/>
      <c r="W95" s="1557"/>
      <c r="X95" s="1287"/>
      <c r="Y95" s="1287"/>
      <c r="Z95" s="482"/>
      <c r="AA95" s="1287"/>
      <c r="AB95" s="1287"/>
      <c r="AC95" s="1287"/>
      <c r="AD95" s="1287"/>
      <c r="AE95" s="1287"/>
      <c r="AF95" s="1553"/>
      <c r="AG95" s="560"/>
      <c r="AH95" s="560"/>
      <c r="AI95" s="560"/>
      <c r="AJ95" s="560"/>
      <c r="AK95" s="1562">
        <v>11</v>
      </c>
    </row>
    <row r="96" spans="1:37" s="4299" customFormat="1" ht="11.45" customHeight="1">
      <c r="A96" s="913"/>
      <c r="B96" s="913"/>
      <c r="C96" s="913"/>
      <c r="D96" s="913"/>
      <c r="E96" s="913"/>
      <c r="F96" s="1557"/>
      <c r="G96" s="1557"/>
      <c r="H96" s="289"/>
      <c r="N96" s="1287"/>
      <c r="P96" s="1287"/>
      <c r="Q96" s="1557"/>
      <c r="R96" s="1557"/>
      <c r="S96" s="1287"/>
      <c r="T96" s="1287"/>
      <c r="U96" s="1287"/>
      <c r="V96" s="1287"/>
      <c r="W96" s="1557"/>
      <c r="X96" s="1287"/>
      <c r="Y96" s="1287"/>
      <c r="Z96" s="482"/>
      <c r="AA96" s="1287"/>
      <c r="AB96" s="1287"/>
      <c r="AC96" s="1287"/>
      <c r="AD96" s="1287"/>
      <c r="AE96" s="1287"/>
      <c r="AF96" s="1553"/>
      <c r="AG96" s="560"/>
      <c r="AH96" s="560"/>
      <c r="AI96" s="560"/>
      <c r="AJ96" s="560"/>
      <c r="AK96" s="1562">
        <v>11</v>
      </c>
    </row>
    <row r="97" spans="1:37" s="4299" customFormat="1" ht="11.45" customHeight="1">
      <c r="A97" s="913"/>
      <c r="B97" s="913"/>
      <c r="C97" s="913"/>
      <c r="D97" s="913"/>
      <c r="E97" s="913"/>
      <c r="F97" s="1557"/>
      <c r="G97" s="1557"/>
      <c r="H97" s="289"/>
      <c r="N97" s="1287"/>
      <c r="P97" s="1287"/>
      <c r="Q97" s="1557"/>
      <c r="R97" s="1557"/>
      <c r="S97" s="1287"/>
      <c r="T97" s="1287"/>
      <c r="U97" s="1287"/>
      <c r="V97" s="1287"/>
      <c r="W97" s="1557"/>
      <c r="X97" s="1287"/>
      <c r="Y97" s="1287"/>
      <c r="Z97" s="482"/>
      <c r="AA97" s="1287"/>
      <c r="AB97" s="1287"/>
      <c r="AC97" s="1287"/>
      <c r="AD97" s="1287"/>
      <c r="AE97" s="1287"/>
      <c r="AF97" s="1553"/>
      <c r="AG97" s="560"/>
      <c r="AH97" s="560"/>
      <c r="AI97" s="560"/>
      <c r="AJ97" s="560"/>
      <c r="AK97" s="1562">
        <v>11</v>
      </c>
    </row>
    <row r="98" spans="1:37" s="4299" customFormat="1" ht="11.45" customHeight="1">
      <c r="A98" s="913"/>
      <c r="B98" s="913"/>
      <c r="C98" s="913"/>
      <c r="D98" s="913"/>
      <c r="E98" s="913"/>
      <c r="F98" s="1557"/>
      <c r="G98" s="1557"/>
      <c r="H98" s="289"/>
      <c r="N98" s="1287"/>
      <c r="P98" s="1287"/>
      <c r="Q98" s="1557"/>
      <c r="R98" s="1557"/>
      <c r="S98" s="1287"/>
      <c r="T98" s="1287"/>
      <c r="U98" s="1287"/>
      <c r="V98" s="1287"/>
      <c r="W98" s="1557"/>
      <c r="X98" s="1287"/>
      <c r="Y98" s="1287"/>
      <c r="Z98" s="482"/>
      <c r="AA98" s="1287"/>
      <c r="AB98" s="1287"/>
      <c r="AC98" s="1287"/>
      <c r="AD98" s="1287"/>
      <c r="AE98" s="1287"/>
      <c r="AF98" s="1553"/>
      <c r="AG98" s="560"/>
      <c r="AH98" s="560"/>
      <c r="AI98" s="560"/>
      <c r="AJ98" s="560"/>
      <c r="AK98" s="1562">
        <v>11</v>
      </c>
    </row>
    <row r="99" spans="1:37" s="4299" customFormat="1" ht="11.45" customHeight="1">
      <c r="A99" s="913"/>
      <c r="B99" s="913"/>
      <c r="C99" s="913"/>
      <c r="D99" s="913"/>
      <c r="E99" s="913"/>
      <c r="F99" s="1557"/>
      <c r="G99" s="1557"/>
      <c r="H99" s="289"/>
      <c r="N99" s="1287"/>
      <c r="P99" s="1287"/>
      <c r="Q99" s="1557"/>
      <c r="R99" s="1557"/>
      <c r="S99" s="1287"/>
      <c r="T99" s="1287"/>
      <c r="U99" s="1287"/>
      <c r="V99" s="1287"/>
      <c r="W99" s="1557"/>
      <c r="X99" s="1287"/>
      <c r="Y99" s="1287"/>
      <c r="Z99" s="482"/>
      <c r="AA99" s="1287"/>
      <c r="AB99" s="1287"/>
      <c r="AC99" s="1287"/>
      <c r="AD99" s="1287"/>
      <c r="AE99" s="1287"/>
      <c r="AF99" s="1553"/>
      <c r="AG99" s="560"/>
      <c r="AH99" s="560"/>
      <c r="AI99" s="560"/>
      <c r="AJ99" s="560"/>
      <c r="AK99" s="1562">
        <v>11</v>
      </c>
    </row>
    <row r="100" spans="1:37" s="4299" customFormat="1" ht="11.45" customHeight="1">
      <c r="A100" s="913"/>
      <c r="B100" s="913"/>
      <c r="C100" s="913"/>
      <c r="D100" s="913"/>
      <c r="E100" s="913"/>
      <c r="F100" s="1557"/>
      <c r="G100" s="1557"/>
      <c r="H100" s="289"/>
      <c r="N100" s="1287"/>
      <c r="P100" s="1287"/>
      <c r="Q100" s="1557"/>
      <c r="R100" s="1557"/>
      <c r="S100" s="1287"/>
      <c r="T100" s="1287"/>
      <c r="U100" s="1287"/>
      <c r="V100" s="1287"/>
      <c r="W100" s="1557"/>
      <c r="X100" s="1287"/>
      <c r="Y100" s="1287"/>
      <c r="Z100" s="482"/>
      <c r="AA100" s="1287"/>
      <c r="AB100" s="1287"/>
      <c r="AC100" s="1287"/>
      <c r="AD100" s="1287"/>
      <c r="AE100" s="1287"/>
      <c r="AF100" s="1553"/>
      <c r="AG100" s="560"/>
      <c r="AH100" s="560"/>
      <c r="AI100" s="560"/>
      <c r="AJ100" s="560"/>
      <c r="AK100" s="1562">
        <v>11</v>
      </c>
    </row>
    <row r="101" spans="1:37" s="4299" customFormat="1" ht="11.45" customHeight="1">
      <c r="A101" s="913"/>
      <c r="B101" s="913"/>
      <c r="C101" s="913"/>
      <c r="D101" s="913"/>
      <c r="E101" s="913"/>
      <c r="F101" s="1557"/>
      <c r="G101" s="1557"/>
      <c r="H101" s="289"/>
      <c r="N101" s="1287"/>
      <c r="P101" s="1287"/>
      <c r="Q101" s="1557"/>
      <c r="R101" s="1557"/>
      <c r="S101" s="1287"/>
      <c r="T101" s="1287"/>
      <c r="U101" s="1287"/>
      <c r="V101" s="1287"/>
      <c r="W101" s="1557"/>
      <c r="X101" s="1287"/>
      <c r="Y101" s="1287"/>
      <c r="Z101" s="482"/>
      <c r="AA101" s="1287"/>
      <c r="AB101" s="1287"/>
      <c r="AC101" s="1287"/>
      <c r="AD101" s="1287"/>
      <c r="AE101" s="1287"/>
      <c r="AF101" s="1553"/>
      <c r="AG101" s="560"/>
      <c r="AH101" s="560"/>
      <c r="AI101" s="560"/>
      <c r="AJ101" s="560"/>
      <c r="AK101" s="1562">
        <v>11</v>
      </c>
    </row>
    <row r="102" spans="1:37" s="4299" customFormat="1" ht="11.45" customHeight="1">
      <c r="A102" s="913"/>
      <c r="B102" s="913"/>
      <c r="C102" s="913"/>
      <c r="D102" s="913"/>
      <c r="E102" s="913"/>
      <c r="F102" s="1557"/>
      <c r="G102" s="1557"/>
      <c r="H102" s="289"/>
      <c r="N102" s="1287"/>
      <c r="P102" s="1287"/>
      <c r="Q102" s="1557"/>
      <c r="R102" s="1557"/>
      <c r="S102" s="1287"/>
      <c r="T102" s="1287"/>
      <c r="U102" s="1287"/>
      <c r="V102" s="1287"/>
      <c r="W102" s="1557"/>
      <c r="X102" s="1287"/>
      <c r="Y102" s="1287"/>
      <c r="Z102" s="482"/>
      <c r="AA102" s="1287"/>
      <c r="AB102" s="1287"/>
      <c r="AC102" s="1287"/>
      <c r="AD102" s="1287"/>
      <c r="AE102" s="1287"/>
      <c r="AF102" s="1553"/>
      <c r="AG102" s="560"/>
      <c r="AH102" s="560"/>
      <c r="AI102" s="560"/>
      <c r="AJ102" s="560"/>
      <c r="AK102" s="1562">
        <v>11</v>
      </c>
    </row>
    <row r="103" spans="1:37" s="4299" customFormat="1" ht="11.45" customHeight="1">
      <c r="A103" s="913"/>
      <c r="B103" s="913"/>
      <c r="C103" s="913"/>
      <c r="D103" s="913"/>
      <c r="E103" s="913"/>
      <c r="F103" s="1557"/>
      <c r="G103" s="1557"/>
      <c r="H103" s="289"/>
      <c r="N103" s="1287"/>
      <c r="P103" s="1287"/>
      <c r="Q103" s="1557"/>
      <c r="R103" s="1557"/>
      <c r="S103" s="1287"/>
      <c r="T103" s="1287"/>
      <c r="U103" s="1287"/>
      <c r="V103" s="1287"/>
      <c r="W103" s="1557"/>
      <c r="X103" s="1287"/>
      <c r="Y103" s="1287"/>
      <c r="Z103" s="482"/>
      <c r="AA103" s="1287"/>
      <c r="AB103" s="1287"/>
      <c r="AC103" s="1287"/>
      <c r="AD103" s="1287"/>
      <c r="AE103" s="1287"/>
      <c r="AF103" s="1553"/>
      <c r="AG103" s="560"/>
      <c r="AH103" s="560"/>
      <c r="AI103" s="560"/>
      <c r="AJ103" s="560"/>
      <c r="AK103" s="1562">
        <v>11</v>
      </c>
    </row>
    <row r="104" spans="1:37" s="4299" customFormat="1" ht="11.45" customHeight="1">
      <c r="A104" s="913"/>
      <c r="B104" s="913"/>
      <c r="C104" s="913"/>
      <c r="D104" s="913"/>
      <c r="E104" s="913"/>
      <c r="F104" s="1557"/>
      <c r="G104" s="1557"/>
      <c r="H104" s="289"/>
      <c r="N104" s="1287"/>
      <c r="P104" s="1287"/>
      <c r="Q104" s="1557"/>
      <c r="R104" s="1557"/>
      <c r="S104" s="1287"/>
      <c r="T104" s="1287"/>
      <c r="U104" s="1287"/>
      <c r="V104" s="1287"/>
      <c r="W104" s="1557"/>
      <c r="X104" s="1287"/>
      <c r="Y104" s="1287"/>
      <c r="Z104" s="482"/>
      <c r="AA104" s="1287"/>
      <c r="AB104" s="1287"/>
      <c r="AC104" s="1287"/>
      <c r="AD104" s="1287"/>
      <c r="AE104" s="1287"/>
      <c r="AF104" s="1553"/>
      <c r="AG104" s="560"/>
      <c r="AH104" s="560"/>
      <c r="AI104" s="560"/>
      <c r="AJ104" s="560"/>
      <c r="AK104" s="1562">
        <v>11</v>
      </c>
    </row>
    <row r="105" spans="1:37" s="4299" customFormat="1" ht="11.45" customHeight="1">
      <c r="A105" s="913"/>
      <c r="B105" s="913"/>
      <c r="C105" s="913"/>
      <c r="D105" s="913"/>
      <c r="E105" s="913"/>
      <c r="F105" s="1557"/>
      <c r="G105" s="1557"/>
      <c r="H105" s="289"/>
      <c r="N105" s="1287"/>
      <c r="P105" s="1287"/>
      <c r="Q105" s="1557"/>
      <c r="R105" s="1557"/>
      <c r="S105" s="1287"/>
      <c r="T105" s="1287"/>
      <c r="U105" s="1287"/>
      <c r="V105" s="1287"/>
      <c r="W105" s="1557"/>
      <c r="X105" s="1287"/>
      <c r="Y105" s="1287"/>
      <c r="Z105" s="482"/>
      <c r="AA105" s="1287"/>
      <c r="AB105" s="1287"/>
      <c r="AC105" s="1287"/>
      <c r="AD105" s="1287"/>
      <c r="AE105" s="1287"/>
      <c r="AF105" s="1553"/>
      <c r="AG105" s="560"/>
      <c r="AH105" s="560"/>
      <c r="AI105" s="560"/>
      <c r="AJ105" s="560"/>
      <c r="AK105" s="1562">
        <v>11</v>
      </c>
    </row>
    <row r="106" spans="1:37" s="4299" customFormat="1" ht="11.45" customHeight="1">
      <c r="A106" s="913"/>
      <c r="B106" s="913"/>
      <c r="C106" s="913"/>
      <c r="D106" s="913"/>
      <c r="E106" s="913"/>
      <c r="F106" s="1557"/>
      <c r="G106" s="1557"/>
      <c r="H106" s="289"/>
      <c r="N106" s="1287"/>
      <c r="P106" s="1287"/>
      <c r="Q106" s="1557"/>
      <c r="R106" s="1557"/>
      <c r="S106" s="1287"/>
      <c r="T106" s="1287"/>
      <c r="U106" s="1287"/>
      <c r="V106" s="1287"/>
      <c r="W106" s="1557"/>
      <c r="X106" s="1287"/>
      <c r="Y106" s="1287"/>
      <c r="Z106" s="482"/>
      <c r="AA106" s="1287"/>
      <c r="AB106" s="1287"/>
      <c r="AC106" s="1287"/>
      <c r="AD106" s="1287"/>
      <c r="AE106" s="1287"/>
      <c r="AF106" s="1553"/>
      <c r="AG106" s="560"/>
      <c r="AH106" s="560"/>
      <c r="AI106" s="560"/>
      <c r="AJ106" s="560"/>
      <c r="AK106" s="1562">
        <v>11</v>
      </c>
    </row>
    <row r="107" spans="1:37" s="4299" customFormat="1" ht="11.45" customHeight="1">
      <c r="A107" s="913"/>
      <c r="B107" s="913"/>
      <c r="C107" s="913"/>
      <c r="D107" s="913"/>
      <c r="E107" s="913"/>
      <c r="F107" s="1557"/>
      <c r="G107" s="1557"/>
      <c r="H107" s="289"/>
      <c r="N107" s="1287"/>
      <c r="P107" s="1287"/>
      <c r="Q107" s="1557"/>
      <c r="R107" s="1557"/>
      <c r="S107" s="1287"/>
      <c r="T107" s="1287"/>
      <c r="U107" s="1287"/>
      <c r="V107" s="1287"/>
      <c r="W107" s="1557"/>
      <c r="X107" s="1287"/>
      <c r="Y107" s="1287"/>
      <c r="Z107" s="482"/>
      <c r="AA107" s="1287"/>
      <c r="AB107" s="1287"/>
      <c r="AC107" s="1287"/>
      <c r="AD107" s="1287"/>
      <c r="AE107" s="1287"/>
      <c r="AF107" s="1553"/>
      <c r="AG107" s="560"/>
      <c r="AH107" s="560"/>
      <c r="AI107" s="560"/>
      <c r="AJ107" s="560"/>
      <c r="AK107" s="1562">
        <v>11</v>
      </c>
    </row>
    <row r="108" spans="1:37" s="4299" customFormat="1" ht="11.45" customHeight="1">
      <c r="A108" s="913"/>
      <c r="B108" s="913"/>
      <c r="C108" s="913"/>
      <c r="D108" s="913"/>
      <c r="E108" s="913"/>
      <c r="F108" s="1557"/>
      <c r="G108" s="1557"/>
      <c r="H108" s="289"/>
      <c r="N108" s="1287"/>
      <c r="P108" s="1287"/>
      <c r="Q108" s="1557"/>
      <c r="R108" s="1557"/>
      <c r="S108" s="1287"/>
      <c r="T108" s="1287"/>
      <c r="U108" s="1287"/>
      <c r="V108" s="1287"/>
      <c r="W108" s="1557"/>
      <c r="X108" s="1287"/>
      <c r="Y108" s="1287"/>
      <c r="Z108" s="482"/>
      <c r="AA108" s="1287"/>
      <c r="AB108" s="1287"/>
      <c r="AC108" s="1287"/>
      <c r="AD108" s="1287"/>
      <c r="AE108" s="1287"/>
      <c r="AF108" s="1553"/>
      <c r="AG108" s="560"/>
      <c r="AH108" s="560"/>
      <c r="AI108" s="560"/>
      <c r="AJ108" s="560"/>
      <c r="AK108" s="1562">
        <v>11</v>
      </c>
    </row>
    <row r="109" spans="1:37" s="4299" customFormat="1" ht="11.45" customHeight="1">
      <c r="A109" s="913"/>
      <c r="B109" s="913"/>
      <c r="C109" s="913"/>
      <c r="D109" s="913"/>
      <c r="E109" s="913"/>
      <c r="F109" s="1557"/>
      <c r="G109" s="1557"/>
      <c r="H109" s="289"/>
      <c r="N109" s="1287"/>
      <c r="P109" s="1287"/>
      <c r="Q109" s="1557"/>
      <c r="R109" s="1557"/>
      <c r="S109" s="1287"/>
      <c r="T109" s="1287"/>
      <c r="U109" s="1287"/>
      <c r="V109" s="1287"/>
      <c r="W109" s="1557"/>
      <c r="X109" s="1287"/>
      <c r="Y109" s="1287"/>
      <c r="Z109" s="482"/>
      <c r="AA109" s="1287"/>
      <c r="AB109" s="1287"/>
      <c r="AC109" s="1287"/>
      <c r="AD109" s="1287"/>
      <c r="AE109" s="1287"/>
      <c r="AF109" s="1553"/>
      <c r="AG109" s="560"/>
      <c r="AH109" s="560"/>
      <c r="AI109" s="560"/>
      <c r="AJ109" s="560"/>
      <c r="AK109" s="1562">
        <v>11</v>
      </c>
    </row>
    <row r="110" spans="1:37" s="4299" customFormat="1" ht="11.45" customHeight="1">
      <c r="A110" s="913"/>
      <c r="B110" s="913"/>
      <c r="C110" s="913"/>
      <c r="D110" s="913"/>
      <c r="E110" s="913"/>
      <c r="F110" s="1557"/>
      <c r="G110" s="1557"/>
      <c r="H110" s="289"/>
      <c r="N110" s="1287"/>
      <c r="P110" s="1287"/>
      <c r="Q110" s="1557"/>
      <c r="R110" s="1557"/>
      <c r="S110" s="1287"/>
      <c r="T110" s="1287"/>
      <c r="U110" s="1287"/>
      <c r="V110" s="1287"/>
      <c r="W110" s="1557"/>
      <c r="X110" s="1287"/>
      <c r="Y110" s="1287"/>
      <c r="Z110" s="482"/>
      <c r="AA110" s="1287"/>
      <c r="AB110" s="1287"/>
      <c r="AC110" s="1287"/>
      <c r="AD110" s="1287"/>
      <c r="AE110" s="1287"/>
      <c r="AF110" s="1553"/>
      <c r="AG110" s="560"/>
      <c r="AH110" s="560"/>
      <c r="AI110" s="560"/>
      <c r="AJ110" s="560"/>
      <c r="AK110" s="1562">
        <v>11</v>
      </c>
    </row>
    <row r="111" spans="1:37" s="4299" customFormat="1" ht="11.45" customHeight="1">
      <c r="A111" s="913"/>
      <c r="B111" s="913"/>
      <c r="C111" s="913"/>
      <c r="D111" s="913"/>
      <c r="E111" s="913"/>
      <c r="F111" s="1557"/>
      <c r="G111" s="1557"/>
      <c r="H111" s="289"/>
      <c r="N111" s="1287"/>
      <c r="P111" s="1287"/>
      <c r="Q111" s="1557"/>
      <c r="R111" s="1557"/>
      <c r="S111" s="1287"/>
      <c r="T111" s="1287"/>
      <c r="U111" s="1287"/>
      <c r="V111" s="1287"/>
      <c r="W111" s="1557"/>
      <c r="X111" s="1287"/>
      <c r="Y111" s="1287"/>
      <c r="Z111" s="482"/>
      <c r="AA111" s="1287"/>
      <c r="AB111" s="1287"/>
      <c r="AC111" s="1287"/>
      <c r="AD111" s="1287"/>
      <c r="AE111" s="1287"/>
      <c r="AF111" s="1553"/>
      <c r="AG111" s="560"/>
      <c r="AH111" s="560"/>
      <c r="AI111" s="560"/>
      <c r="AJ111" s="560"/>
      <c r="AK111" s="1562">
        <v>11</v>
      </c>
    </row>
    <row r="112" spans="1:37" s="4299" customFormat="1" ht="11.45" customHeight="1">
      <c r="A112" s="913"/>
      <c r="B112" s="913"/>
      <c r="C112" s="913"/>
      <c r="D112" s="913"/>
      <c r="E112" s="913"/>
      <c r="F112" s="1557"/>
      <c r="G112" s="1557"/>
      <c r="H112" s="289"/>
      <c r="N112" s="1287"/>
      <c r="P112" s="1287"/>
      <c r="Q112" s="1557"/>
      <c r="R112" s="1557"/>
      <c r="S112" s="1287"/>
      <c r="T112" s="1287"/>
      <c r="U112" s="1287"/>
      <c r="V112" s="1287"/>
      <c r="W112" s="1557"/>
      <c r="X112" s="1287"/>
      <c r="Y112" s="1287"/>
      <c r="Z112" s="482"/>
      <c r="AA112" s="1287"/>
      <c r="AB112" s="1287"/>
      <c r="AC112" s="1287"/>
      <c r="AD112" s="1287"/>
      <c r="AE112" s="1287"/>
      <c r="AF112" s="1553"/>
      <c r="AG112" s="560"/>
      <c r="AH112" s="560"/>
      <c r="AI112" s="560"/>
      <c r="AJ112" s="560"/>
      <c r="AK112" s="1562">
        <v>11</v>
      </c>
    </row>
    <row r="113" spans="1:37" s="4299" customFormat="1" ht="11.45" customHeight="1">
      <c r="A113" s="913"/>
      <c r="B113" s="913"/>
      <c r="C113" s="913"/>
      <c r="D113" s="913"/>
      <c r="E113" s="913"/>
      <c r="F113" s="1557"/>
      <c r="G113" s="1557"/>
      <c r="H113" s="289"/>
      <c r="N113" s="1287"/>
      <c r="P113" s="1287"/>
      <c r="Q113" s="1557"/>
      <c r="R113" s="1557"/>
      <c r="S113" s="1287"/>
      <c r="T113" s="1287"/>
      <c r="U113" s="1287"/>
      <c r="V113" s="1287"/>
      <c r="W113" s="1557"/>
      <c r="X113" s="1287"/>
      <c r="Y113" s="1287"/>
      <c r="Z113" s="482"/>
      <c r="AA113" s="1287"/>
      <c r="AB113" s="1287"/>
      <c r="AC113" s="1287"/>
      <c r="AD113" s="1287"/>
      <c r="AE113" s="1287"/>
      <c r="AF113" s="1553"/>
      <c r="AG113" s="560"/>
      <c r="AH113" s="560"/>
      <c r="AI113" s="560"/>
      <c r="AJ113" s="560"/>
      <c r="AK113" s="1562">
        <v>11</v>
      </c>
    </row>
    <row r="114" spans="1:37" s="4299" customFormat="1" ht="11.45" customHeight="1">
      <c r="A114" s="913"/>
      <c r="B114" s="913"/>
      <c r="C114" s="913"/>
      <c r="D114" s="913"/>
      <c r="E114" s="913"/>
      <c r="F114" s="1557"/>
      <c r="G114" s="1557"/>
      <c r="H114" s="289"/>
      <c r="N114" s="1287"/>
      <c r="P114" s="1287"/>
      <c r="Q114" s="1557"/>
      <c r="R114" s="1557"/>
      <c r="S114" s="1287"/>
      <c r="T114" s="1287"/>
      <c r="U114" s="1287"/>
      <c r="V114" s="1287"/>
      <c r="W114" s="1557"/>
      <c r="X114" s="1287"/>
      <c r="Y114" s="1287"/>
      <c r="Z114" s="482"/>
      <c r="AA114" s="1287"/>
      <c r="AB114" s="1287"/>
      <c r="AC114" s="1287"/>
      <c r="AD114" s="1287"/>
      <c r="AE114" s="1287"/>
      <c r="AF114" s="1553"/>
      <c r="AG114" s="560"/>
      <c r="AH114" s="560"/>
      <c r="AI114" s="560"/>
      <c r="AJ114" s="560"/>
      <c r="AK114" s="1562">
        <v>11</v>
      </c>
    </row>
    <row r="115" spans="1:37" s="4299" customFormat="1" ht="11.45" customHeight="1">
      <c r="A115" s="913"/>
      <c r="B115" s="913"/>
      <c r="C115" s="913"/>
      <c r="D115" s="913"/>
      <c r="E115" s="913"/>
      <c r="F115" s="1557"/>
      <c r="G115" s="1557"/>
      <c r="H115" s="289"/>
      <c r="N115" s="1287"/>
      <c r="P115" s="1287"/>
      <c r="Q115" s="1557"/>
      <c r="R115" s="1557"/>
      <c r="S115" s="1287"/>
      <c r="T115" s="1287"/>
      <c r="U115" s="1287"/>
      <c r="V115" s="1287"/>
      <c r="W115" s="1557"/>
      <c r="X115" s="1287"/>
      <c r="Y115" s="1287"/>
      <c r="Z115" s="482"/>
      <c r="AA115" s="1287"/>
      <c r="AB115" s="1287"/>
      <c r="AC115" s="1287"/>
      <c r="AD115" s="1287"/>
      <c r="AE115" s="1287"/>
      <c r="AF115" s="1553"/>
      <c r="AG115" s="560"/>
      <c r="AH115" s="560"/>
      <c r="AI115" s="560"/>
      <c r="AJ115" s="560"/>
      <c r="AK115" s="1562">
        <v>11</v>
      </c>
    </row>
    <row r="116" spans="1:37" s="4299" customFormat="1" ht="11.45" customHeight="1">
      <c r="A116" s="913"/>
      <c r="B116" s="913"/>
      <c r="C116" s="913"/>
      <c r="D116" s="913"/>
      <c r="E116" s="913"/>
      <c r="F116" s="1557"/>
      <c r="G116" s="1557"/>
      <c r="H116" s="289"/>
      <c r="N116" s="1287"/>
      <c r="P116" s="1287"/>
      <c r="Q116" s="1557"/>
      <c r="R116" s="1557"/>
      <c r="S116" s="1287"/>
      <c r="T116" s="1287"/>
      <c r="U116" s="1287"/>
      <c r="V116" s="1287"/>
      <c r="W116" s="1557"/>
      <c r="X116" s="1287"/>
      <c r="Y116" s="1287"/>
      <c r="Z116" s="482"/>
      <c r="AA116" s="1287"/>
      <c r="AB116" s="1287"/>
      <c r="AC116" s="1287"/>
      <c r="AD116" s="1287"/>
      <c r="AE116" s="1287"/>
      <c r="AF116" s="1553"/>
      <c r="AG116" s="560"/>
      <c r="AH116" s="560"/>
      <c r="AI116" s="560"/>
      <c r="AJ116" s="560"/>
      <c r="AK116" s="1562">
        <v>11</v>
      </c>
    </row>
    <row r="117" spans="1:37" s="4299" customFormat="1" ht="11.45" customHeight="1">
      <c r="A117" s="913"/>
      <c r="B117" s="913"/>
      <c r="C117" s="913"/>
      <c r="D117" s="913"/>
      <c r="E117" s="913"/>
      <c r="F117" s="1557"/>
      <c r="G117" s="1557"/>
      <c r="H117" s="289"/>
      <c r="N117" s="1287"/>
      <c r="P117" s="1287"/>
      <c r="Q117" s="1557"/>
      <c r="R117" s="1557"/>
      <c r="S117" s="1287"/>
      <c r="T117" s="1287"/>
      <c r="U117" s="1287"/>
      <c r="V117" s="1287"/>
      <c r="W117" s="1557"/>
      <c r="X117" s="1287"/>
      <c r="Y117" s="1287"/>
      <c r="Z117" s="482"/>
      <c r="AA117" s="1287"/>
      <c r="AB117" s="1287"/>
      <c r="AC117" s="1287"/>
      <c r="AD117" s="1287"/>
      <c r="AE117" s="1287"/>
      <c r="AF117" s="1553"/>
      <c r="AG117" s="560"/>
      <c r="AH117" s="560"/>
      <c r="AI117" s="560"/>
      <c r="AJ117" s="560"/>
      <c r="AK117" s="1562">
        <v>11</v>
      </c>
    </row>
    <row r="118" spans="1:37" s="4299" customFormat="1" ht="11.45" customHeight="1">
      <c r="A118" s="913"/>
      <c r="B118" s="913"/>
      <c r="C118" s="913"/>
      <c r="D118" s="913"/>
      <c r="E118" s="913"/>
      <c r="F118" s="1557"/>
      <c r="G118" s="1557"/>
      <c r="H118" s="289"/>
      <c r="N118" s="1287"/>
      <c r="P118" s="1287"/>
      <c r="Q118" s="1557"/>
      <c r="R118" s="1557"/>
      <c r="S118" s="1287"/>
      <c r="T118" s="1287"/>
      <c r="U118" s="1287"/>
      <c r="V118" s="1287"/>
      <c r="W118" s="1557"/>
      <c r="X118" s="1287"/>
      <c r="Y118" s="1287"/>
      <c r="Z118" s="482"/>
      <c r="AA118" s="1287"/>
      <c r="AB118" s="1287"/>
      <c r="AC118" s="1287"/>
      <c r="AD118" s="1287"/>
      <c r="AE118" s="1287"/>
      <c r="AF118" s="1553"/>
      <c r="AG118" s="560"/>
      <c r="AH118" s="560"/>
      <c r="AI118" s="560"/>
      <c r="AJ118" s="560"/>
      <c r="AK118" s="1562">
        <v>11</v>
      </c>
    </row>
    <row r="119" spans="1:37" s="4299" customFormat="1" ht="11.45" customHeight="1">
      <c r="A119" s="913"/>
      <c r="B119" s="913"/>
      <c r="C119" s="913"/>
      <c r="D119" s="913"/>
      <c r="E119" s="913"/>
      <c r="F119" s="1557"/>
      <c r="G119" s="1557"/>
      <c r="H119" s="289"/>
      <c r="N119" s="1287"/>
      <c r="P119" s="1287"/>
      <c r="Q119" s="1557"/>
      <c r="R119" s="1557"/>
      <c r="S119" s="1287"/>
      <c r="T119" s="1287"/>
      <c r="U119" s="1287"/>
      <c r="V119" s="1287"/>
      <c r="W119" s="1557"/>
      <c r="X119" s="1287"/>
      <c r="Y119" s="1287"/>
      <c r="Z119" s="482"/>
      <c r="AA119" s="1287"/>
      <c r="AB119" s="1287"/>
      <c r="AC119" s="1287"/>
      <c r="AD119" s="1287"/>
      <c r="AE119" s="1287"/>
      <c r="AF119" s="1553"/>
      <c r="AG119" s="560"/>
      <c r="AH119" s="560"/>
      <c r="AI119" s="560"/>
      <c r="AJ119" s="560"/>
      <c r="AK119" s="1562">
        <v>11</v>
      </c>
    </row>
    <row r="120" spans="1:37" s="4299" customFormat="1" ht="11.45" customHeight="1">
      <c r="A120" s="913"/>
      <c r="B120" s="913"/>
      <c r="C120" s="913"/>
      <c r="D120" s="913"/>
      <c r="E120" s="913"/>
      <c r="F120" s="1557"/>
      <c r="G120" s="1557"/>
      <c r="H120" s="289"/>
      <c r="N120" s="1287"/>
      <c r="P120" s="1287"/>
      <c r="Q120" s="1557"/>
      <c r="R120" s="1557"/>
      <c r="S120" s="1287"/>
      <c r="T120" s="1287"/>
      <c r="U120" s="1287"/>
      <c r="V120" s="1287"/>
      <c r="W120" s="1557"/>
      <c r="X120" s="1287"/>
      <c r="Y120" s="1287"/>
      <c r="Z120" s="482"/>
      <c r="AA120" s="1287"/>
      <c r="AB120" s="1287"/>
      <c r="AC120" s="1287"/>
      <c r="AD120" s="1287"/>
      <c r="AE120" s="1287"/>
      <c r="AF120" s="1553"/>
      <c r="AG120" s="560"/>
      <c r="AH120" s="560"/>
      <c r="AI120" s="560"/>
      <c r="AJ120" s="560"/>
      <c r="AK120" s="1562">
        <v>11</v>
      </c>
    </row>
    <row r="121" spans="1:37" s="4299" customFormat="1" ht="11.45" customHeight="1">
      <c r="A121" s="913"/>
      <c r="B121" s="913"/>
      <c r="C121" s="913"/>
      <c r="D121" s="913"/>
      <c r="E121" s="913"/>
      <c r="F121" s="1557"/>
      <c r="G121" s="1557"/>
      <c r="H121" s="289"/>
      <c r="N121" s="1287"/>
      <c r="P121" s="1287"/>
      <c r="Q121" s="1557"/>
      <c r="R121" s="1557"/>
      <c r="S121" s="1287"/>
      <c r="T121" s="1287"/>
      <c r="U121" s="1287"/>
      <c r="V121" s="1287"/>
      <c r="W121" s="1557"/>
      <c r="X121" s="1287"/>
      <c r="Y121" s="1287"/>
      <c r="Z121" s="482"/>
      <c r="AA121" s="1287"/>
      <c r="AB121" s="1287"/>
      <c r="AC121" s="1287"/>
      <c r="AD121" s="1287"/>
      <c r="AE121" s="1287"/>
      <c r="AF121" s="1553"/>
      <c r="AG121" s="560"/>
      <c r="AH121" s="560"/>
      <c r="AI121" s="560"/>
      <c r="AJ121" s="560"/>
      <c r="AK121" s="1562">
        <v>11</v>
      </c>
    </row>
    <row r="122" spans="1:37" s="4299" customFormat="1" ht="11.45" customHeight="1">
      <c r="A122" s="913"/>
      <c r="B122" s="913"/>
      <c r="C122" s="913"/>
      <c r="D122" s="913"/>
      <c r="E122" s="913"/>
      <c r="F122" s="1557"/>
      <c r="G122" s="1557"/>
      <c r="H122" s="289"/>
      <c r="N122" s="1287"/>
      <c r="P122" s="1287"/>
      <c r="Q122" s="1557"/>
      <c r="R122" s="1557"/>
      <c r="S122" s="1287"/>
      <c r="T122" s="1287"/>
      <c r="U122" s="1287"/>
      <c r="V122" s="1287"/>
      <c r="W122" s="1557"/>
      <c r="X122" s="1287"/>
      <c r="Y122" s="1287"/>
      <c r="Z122" s="482"/>
      <c r="AA122" s="1287"/>
      <c r="AB122" s="1287"/>
      <c r="AC122" s="1287"/>
      <c r="AD122" s="1287"/>
      <c r="AE122" s="1287"/>
      <c r="AF122" s="1553"/>
      <c r="AG122" s="560"/>
      <c r="AH122" s="560"/>
      <c r="AI122" s="560"/>
      <c r="AJ122" s="560"/>
      <c r="AK122" s="1562">
        <v>11</v>
      </c>
    </row>
    <row r="123" spans="1:37" s="4299" customFormat="1" ht="11.45" customHeight="1">
      <c r="A123" s="913"/>
      <c r="B123" s="913"/>
      <c r="C123" s="913"/>
      <c r="D123" s="913"/>
      <c r="E123" s="913"/>
      <c r="F123" s="1557"/>
      <c r="G123" s="1557"/>
      <c r="H123" s="289"/>
      <c r="N123" s="1287"/>
      <c r="P123" s="1287"/>
      <c r="Q123" s="1557"/>
      <c r="R123" s="1557"/>
      <c r="S123" s="1287"/>
      <c r="T123" s="1287"/>
      <c r="U123" s="1287"/>
      <c r="V123" s="1287"/>
      <c r="W123" s="1557"/>
      <c r="X123" s="1287"/>
      <c r="Y123" s="1287"/>
      <c r="Z123" s="482"/>
      <c r="AA123" s="1287"/>
      <c r="AB123" s="1287"/>
      <c r="AC123" s="1287"/>
      <c r="AD123" s="1287"/>
      <c r="AE123" s="1287"/>
      <c r="AF123" s="1553"/>
      <c r="AG123" s="560"/>
      <c r="AH123" s="560"/>
      <c r="AI123" s="560"/>
      <c r="AJ123" s="560"/>
      <c r="AK123" s="1562">
        <v>11</v>
      </c>
    </row>
    <row r="124" spans="1:37" s="4299" customFormat="1" ht="11.45" customHeight="1">
      <c r="A124" s="913"/>
      <c r="B124" s="913"/>
      <c r="C124" s="913"/>
      <c r="D124" s="913"/>
      <c r="E124" s="913"/>
      <c r="F124" s="1557"/>
      <c r="G124" s="1557"/>
      <c r="H124" s="289"/>
      <c r="N124" s="1287"/>
      <c r="P124" s="1287"/>
      <c r="Q124" s="1557"/>
      <c r="R124" s="1557"/>
      <c r="S124" s="1287"/>
      <c r="T124" s="1287"/>
      <c r="U124" s="1287"/>
      <c r="V124" s="1287"/>
      <c r="W124" s="1557"/>
      <c r="X124" s="1287"/>
      <c r="Y124" s="1287"/>
      <c r="Z124" s="482"/>
      <c r="AA124" s="1287"/>
      <c r="AB124" s="1287"/>
      <c r="AC124" s="1287"/>
      <c r="AD124" s="1287"/>
      <c r="AE124" s="1287"/>
      <c r="AF124" s="1553"/>
      <c r="AG124" s="560"/>
      <c r="AH124" s="560"/>
      <c r="AI124" s="560"/>
      <c r="AJ124" s="560"/>
      <c r="AK124" s="1562">
        <v>11</v>
      </c>
    </row>
    <row r="125" spans="1:37" s="4299" customFormat="1" ht="11.45" customHeight="1">
      <c r="A125" s="913"/>
      <c r="B125" s="913"/>
      <c r="C125" s="913"/>
      <c r="D125" s="913"/>
      <c r="E125" s="913"/>
      <c r="F125" s="1557"/>
      <c r="G125" s="1557"/>
      <c r="H125" s="289"/>
      <c r="N125" s="1287"/>
      <c r="P125" s="1287"/>
      <c r="Q125" s="1557"/>
      <c r="R125" s="1557"/>
      <c r="S125" s="1287"/>
      <c r="T125" s="1287"/>
      <c r="U125" s="1287"/>
      <c r="V125" s="1287"/>
      <c r="W125" s="1557"/>
      <c r="X125" s="1287"/>
      <c r="Y125" s="1287"/>
      <c r="Z125" s="482"/>
      <c r="AA125" s="1287"/>
      <c r="AB125" s="1287"/>
      <c r="AC125" s="1287"/>
      <c r="AD125" s="1287"/>
      <c r="AE125" s="1287"/>
      <c r="AF125" s="1553"/>
      <c r="AG125" s="560"/>
      <c r="AH125" s="560"/>
      <c r="AI125" s="560"/>
      <c r="AJ125" s="560"/>
      <c r="AK125" s="1562">
        <v>11</v>
      </c>
    </row>
    <row r="126" spans="1:37" s="4299" customFormat="1" ht="11.45" customHeight="1">
      <c r="A126" s="913"/>
      <c r="B126" s="913"/>
      <c r="C126" s="913"/>
      <c r="D126" s="913"/>
      <c r="E126" s="913"/>
      <c r="F126" s="1557"/>
      <c r="G126" s="1557"/>
      <c r="H126" s="289"/>
      <c r="N126" s="1287"/>
      <c r="P126" s="1287"/>
      <c r="Q126" s="1557"/>
      <c r="R126" s="1557"/>
      <c r="S126" s="1287"/>
      <c r="T126" s="1287"/>
      <c r="U126" s="1287"/>
      <c r="V126" s="1287"/>
      <c r="W126" s="1557"/>
      <c r="X126" s="1287"/>
      <c r="Y126" s="1287"/>
      <c r="Z126" s="482"/>
      <c r="AA126" s="1287"/>
      <c r="AB126" s="1287"/>
      <c r="AC126" s="1287"/>
      <c r="AD126" s="1287"/>
      <c r="AE126" s="1287"/>
      <c r="AF126" s="1553"/>
      <c r="AG126" s="560"/>
      <c r="AH126" s="560"/>
      <c r="AI126" s="560"/>
      <c r="AJ126" s="560"/>
      <c r="AK126" s="1562">
        <v>11</v>
      </c>
    </row>
    <row r="127" spans="1:37" s="4299" customFormat="1" ht="11.45" customHeight="1">
      <c r="A127" s="913"/>
      <c r="B127" s="913"/>
      <c r="C127" s="913"/>
      <c r="D127" s="913"/>
      <c r="E127" s="913"/>
      <c r="F127" s="1557"/>
      <c r="G127" s="1557"/>
      <c r="H127" s="289"/>
      <c r="N127" s="1287"/>
      <c r="P127" s="1287"/>
      <c r="Q127" s="1557"/>
      <c r="R127" s="1557"/>
      <c r="S127" s="1287"/>
      <c r="T127" s="1287"/>
      <c r="U127" s="1287"/>
      <c r="V127" s="1287"/>
      <c r="W127" s="1557"/>
      <c r="X127" s="1287"/>
      <c r="Y127" s="1287"/>
      <c r="Z127" s="482"/>
      <c r="AA127" s="1287"/>
      <c r="AB127" s="1287"/>
      <c r="AC127" s="1287"/>
      <c r="AD127" s="1287"/>
      <c r="AE127" s="1287"/>
      <c r="AF127" s="1553"/>
      <c r="AG127" s="560"/>
      <c r="AH127" s="560"/>
      <c r="AI127" s="560"/>
      <c r="AJ127" s="560"/>
      <c r="AK127" s="1562">
        <v>11</v>
      </c>
    </row>
    <row r="128" spans="1:37" s="4299" customFormat="1" ht="11.45" customHeight="1">
      <c r="A128" s="913"/>
      <c r="B128" s="913"/>
      <c r="C128" s="913"/>
      <c r="D128" s="913"/>
      <c r="E128" s="913"/>
      <c r="F128" s="1557"/>
      <c r="G128" s="1557"/>
      <c r="H128" s="289"/>
      <c r="N128" s="1287"/>
      <c r="P128" s="1287"/>
      <c r="Q128" s="1557"/>
      <c r="R128" s="1557"/>
      <c r="S128" s="1287"/>
      <c r="T128" s="1287"/>
      <c r="U128" s="1287"/>
      <c r="V128" s="1287"/>
      <c r="W128" s="1557"/>
      <c r="X128" s="1287"/>
      <c r="Y128" s="1287"/>
      <c r="Z128" s="482"/>
      <c r="AA128" s="1287"/>
      <c r="AB128" s="1287"/>
      <c r="AC128" s="1287"/>
      <c r="AD128" s="1287"/>
      <c r="AE128" s="1287"/>
      <c r="AF128" s="1553"/>
      <c r="AG128" s="560"/>
      <c r="AH128" s="560"/>
      <c r="AI128" s="560"/>
      <c r="AJ128" s="560"/>
      <c r="AK128" s="1562">
        <v>11</v>
      </c>
    </row>
    <row r="129" spans="1:37" s="4299" customFormat="1" ht="11.45" customHeight="1">
      <c r="A129" s="913"/>
      <c r="B129" s="913"/>
      <c r="C129" s="913"/>
      <c r="D129" s="913"/>
      <c r="E129" s="913"/>
      <c r="F129" s="1557"/>
      <c r="G129" s="1557"/>
      <c r="H129" s="289"/>
      <c r="N129" s="1287"/>
      <c r="P129" s="1287"/>
      <c r="Q129" s="1557"/>
      <c r="R129" s="1557"/>
      <c r="S129" s="1287"/>
      <c r="T129" s="1287"/>
      <c r="U129" s="1287"/>
      <c r="V129" s="1287"/>
      <c r="W129" s="1557"/>
      <c r="X129" s="1287"/>
      <c r="Y129" s="1287"/>
      <c r="Z129" s="482"/>
      <c r="AA129" s="1287"/>
      <c r="AB129" s="1287"/>
      <c r="AC129" s="1287"/>
      <c r="AD129" s="1287"/>
      <c r="AE129" s="1287"/>
      <c r="AF129" s="1553"/>
      <c r="AG129" s="560"/>
      <c r="AH129" s="560"/>
      <c r="AI129" s="560"/>
      <c r="AJ129" s="560"/>
      <c r="AK129" s="1562">
        <v>11</v>
      </c>
    </row>
    <row r="130" spans="1:37" s="4299" customFormat="1" ht="11.45" customHeight="1">
      <c r="A130" s="913"/>
      <c r="B130" s="913"/>
      <c r="C130" s="913"/>
      <c r="D130" s="913"/>
      <c r="E130" s="913"/>
      <c r="F130" s="1557"/>
      <c r="G130" s="1557"/>
      <c r="H130" s="289"/>
      <c r="N130" s="1287"/>
      <c r="P130" s="1287"/>
      <c r="Q130" s="1557"/>
      <c r="R130" s="1557"/>
      <c r="S130" s="1287"/>
      <c r="T130" s="1287"/>
      <c r="U130" s="1287"/>
      <c r="V130" s="1287"/>
      <c r="W130" s="1557"/>
      <c r="X130" s="1287"/>
      <c r="Y130" s="1287"/>
      <c r="Z130" s="482"/>
      <c r="AA130" s="1287"/>
      <c r="AB130" s="1287"/>
      <c r="AC130" s="1287"/>
      <c r="AD130" s="1287"/>
      <c r="AE130" s="1287"/>
      <c r="AF130" s="1553"/>
      <c r="AG130" s="560"/>
      <c r="AH130" s="560"/>
      <c r="AI130" s="560"/>
      <c r="AJ130" s="560"/>
      <c r="AK130" s="1562">
        <v>11</v>
      </c>
    </row>
    <row r="131" spans="1:37" s="4299" customFormat="1" ht="11.45" customHeight="1">
      <c r="A131" s="913"/>
      <c r="B131" s="913"/>
      <c r="C131" s="913"/>
      <c r="D131" s="913"/>
      <c r="E131" s="913"/>
      <c r="F131" s="1557"/>
      <c r="G131" s="1557"/>
      <c r="H131" s="289"/>
      <c r="N131" s="1287"/>
      <c r="P131" s="1287"/>
      <c r="Q131" s="1557"/>
      <c r="R131" s="1557"/>
      <c r="S131" s="1287"/>
      <c r="T131" s="1287"/>
      <c r="U131" s="1287"/>
      <c r="V131" s="1287"/>
      <c r="W131" s="1557"/>
      <c r="X131" s="1287"/>
      <c r="Y131" s="1287"/>
      <c r="Z131" s="482"/>
      <c r="AA131" s="1287"/>
      <c r="AB131" s="1287"/>
      <c r="AC131" s="1287"/>
      <c r="AD131" s="1287"/>
      <c r="AE131" s="1287"/>
      <c r="AF131" s="1553"/>
      <c r="AG131" s="560"/>
      <c r="AH131" s="560"/>
      <c r="AI131" s="560"/>
      <c r="AJ131" s="560"/>
      <c r="AK131" s="1562">
        <v>11</v>
      </c>
    </row>
    <row r="132" spans="1:37" s="4299" customFormat="1" ht="11.45" customHeight="1">
      <c r="A132" s="913"/>
      <c r="B132" s="913"/>
      <c r="C132" s="913"/>
      <c r="D132" s="913"/>
      <c r="E132" s="913"/>
      <c r="F132" s="1557"/>
      <c r="G132" s="1557"/>
      <c r="H132" s="289"/>
      <c r="N132" s="1287"/>
      <c r="P132" s="1287"/>
      <c r="Q132" s="1557"/>
      <c r="R132" s="1557"/>
      <c r="S132" s="1287"/>
      <c r="T132" s="1287"/>
      <c r="U132" s="1287"/>
      <c r="V132" s="1287"/>
      <c r="W132" s="1557"/>
      <c r="X132" s="1287"/>
      <c r="Y132" s="1287"/>
      <c r="Z132" s="482"/>
      <c r="AA132" s="1287"/>
      <c r="AB132" s="1287"/>
      <c r="AC132" s="1287"/>
      <c r="AD132" s="1287"/>
      <c r="AE132" s="1287"/>
      <c r="AF132" s="1553"/>
      <c r="AG132" s="560"/>
      <c r="AH132" s="560"/>
      <c r="AI132" s="560"/>
      <c r="AJ132" s="560"/>
      <c r="AK132" s="1562">
        <v>11</v>
      </c>
    </row>
    <row r="133" spans="1:37" s="4299" customFormat="1" ht="11.45" customHeight="1">
      <c r="A133" s="913"/>
      <c r="B133" s="913"/>
      <c r="C133" s="913"/>
      <c r="D133" s="913"/>
      <c r="E133" s="913"/>
      <c r="F133" s="1557"/>
      <c r="G133" s="1557"/>
      <c r="H133" s="289"/>
      <c r="N133" s="1287"/>
      <c r="P133" s="1287"/>
      <c r="Q133" s="1557"/>
      <c r="R133" s="1557"/>
      <c r="S133" s="1287"/>
      <c r="T133" s="1287"/>
      <c r="U133" s="1287"/>
      <c r="V133" s="1287"/>
      <c r="W133" s="1557"/>
      <c r="X133" s="1287"/>
      <c r="Y133" s="1287"/>
      <c r="Z133" s="482"/>
      <c r="AA133" s="1287"/>
      <c r="AB133" s="1287"/>
      <c r="AC133" s="1287"/>
      <c r="AD133" s="1287"/>
      <c r="AE133" s="1287"/>
      <c r="AF133" s="1553"/>
      <c r="AG133" s="560"/>
      <c r="AH133" s="560"/>
      <c r="AI133" s="560"/>
      <c r="AJ133" s="560"/>
      <c r="AK133" s="1562">
        <v>11</v>
      </c>
    </row>
    <row r="134" spans="1:37" s="4299" customFormat="1" ht="11.45" customHeight="1">
      <c r="A134" s="913"/>
      <c r="B134" s="913"/>
      <c r="C134" s="913"/>
      <c r="D134" s="913"/>
      <c r="E134" s="913"/>
      <c r="F134" s="1557"/>
      <c r="G134" s="1557"/>
      <c r="H134" s="289"/>
      <c r="N134" s="1287"/>
      <c r="P134" s="1287"/>
      <c r="Q134" s="1557"/>
      <c r="R134" s="1557"/>
      <c r="S134" s="1287"/>
      <c r="T134" s="1287"/>
      <c r="U134" s="1287"/>
      <c r="V134" s="1287"/>
      <c r="W134" s="1557"/>
      <c r="X134" s="1287"/>
      <c r="Y134" s="1287"/>
      <c r="Z134" s="482"/>
      <c r="AA134" s="1287"/>
      <c r="AB134" s="1287"/>
      <c r="AC134" s="1287"/>
      <c r="AD134" s="1287"/>
      <c r="AE134" s="1287"/>
      <c r="AF134" s="1553"/>
      <c r="AG134" s="560"/>
      <c r="AH134" s="560"/>
      <c r="AI134" s="560"/>
      <c r="AJ134" s="560"/>
      <c r="AK134" s="1562">
        <v>11</v>
      </c>
    </row>
    <row r="135" spans="1:37" s="4299" customFormat="1" ht="11.45" customHeight="1">
      <c r="A135" s="913"/>
      <c r="B135" s="913"/>
      <c r="C135" s="913"/>
      <c r="D135" s="913"/>
      <c r="E135" s="913"/>
      <c r="F135" s="1557"/>
      <c r="G135" s="1557"/>
      <c r="H135" s="289"/>
      <c r="N135" s="1287"/>
      <c r="P135" s="1287"/>
      <c r="Q135" s="1557"/>
      <c r="R135" s="1557"/>
      <c r="S135" s="1287"/>
      <c r="T135" s="1287"/>
      <c r="U135" s="1287"/>
      <c r="V135" s="1287"/>
      <c r="W135" s="1557"/>
      <c r="X135" s="1287"/>
      <c r="Y135" s="1287"/>
      <c r="Z135" s="482"/>
      <c r="AA135" s="1287"/>
      <c r="AB135" s="1287"/>
      <c r="AC135" s="1287"/>
      <c r="AD135" s="1287"/>
      <c r="AE135" s="1287"/>
      <c r="AF135" s="1553"/>
      <c r="AG135" s="560"/>
      <c r="AH135" s="560"/>
      <c r="AI135" s="560"/>
      <c r="AJ135" s="560"/>
      <c r="AK135" s="1562">
        <v>11</v>
      </c>
    </row>
    <row r="136" spans="1:37" s="4299" customFormat="1" ht="11.45" customHeight="1">
      <c r="A136" s="913"/>
      <c r="B136" s="913"/>
      <c r="C136" s="913"/>
      <c r="D136" s="913"/>
      <c r="E136" s="913"/>
      <c r="F136" s="1557"/>
      <c r="G136" s="1557"/>
      <c r="H136" s="289"/>
      <c r="N136" s="1287"/>
      <c r="P136" s="1287"/>
      <c r="Q136" s="1557"/>
      <c r="R136" s="1557"/>
      <c r="S136" s="1287"/>
      <c r="T136" s="1287"/>
      <c r="U136" s="1287"/>
      <c r="V136" s="1287"/>
      <c r="W136" s="1557"/>
      <c r="X136" s="1287"/>
      <c r="Y136" s="1287"/>
      <c r="Z136" s="482"/>
      <c r="AA136" s="1287"/>
      <c r="AB136" s="1287"/>
      <c r="AC136" s="1287"/>
      <c r="AD136" s="1287"/>
      <c r="AE136" s="1287"/>
      <c r="AF136" s="1553"/>
      <c r="AG136" s="560"/>
      <c r="AH136" s="560"/>
      <c r="AI136" s="560"/>
      <c r="AJ136" s="560"/>
      <c r="AK136" s="1562">
        <v>11</v>
      </c>
    </row>
    <row r="137" spans="1:37" s="4299" customFormat="1" ht="11.45" customHeight="1">
      <c r="A137" s="913"/>
      <c r="B137" s="913"/>
      <c r="C137" s="913"/>
      <c r="D137" s="913"/>
      <c r="E137" s="913"/>
      <c r="F137" s="1557"/>
      <c r="G137" s="1557"/>
      <c r="H137" s="289"/>
      <c r="N137" s="1287"/>
      <c r="P137" s="1287"/>
      <c r="Q137" s="1557"/>
      <c r="R137" s="1557"/>
      <c r="S137" s="1287"/>
      <c r="T137" s="1287"/>
      <c r="U137" s="1287"/>
      <c r="V137" s="1287"/>
      <c r="W137" s="1557"/>
      <c r="X137" s="1287"/>
      <c r="Y137" s="1287"/>
      <c r="Z137" s="482"/>
      <c r="AA137" s="1287"/>
      <c r="AB137" s="1287"/>
      <c r="AC137" s="1287"/>
      <c r="AD137" s="1287"/>
      <c r="AE137" s="1287"/>
      <c r="AF137" s="1553"/>
      <c r="AG137" s="560"/>
      <c r="AH137" s="560"/>
      <c r="AI137" s="560"/>
      <c r="AJ137" s="560"/>
      <c r="AK137" s="1562">
        <v>11</v>
      </c>
    </row>
    <row r="138" spans="1:37" s="4299" customFormat="1" ht="11.45" customHeight="1">
      <c r="A138" s="913"/>
      <c r="B138" s="913"/>
      <c r="C138" s="913"/>
      <c r="D138" s="913"/>
      <c r="E138" s="913"/>
      <c r="F138" s="1557"/>
      <c r="G138" s="1557"/>
      <c r="H138" s="289"/>
      <c r="N138" s="1287"/>
      <c r="P138" s="1287"/>
      <c r="Q138" s="1557"/>
      <c r="R138" s="1557"/>
      <c r="S138" s="1287"/>
      <c r="T138" s="1287"/>
      <c r="U138" s="1287"/>
      <c r="V138" s="1287"/>
      <c r="W138" s="1557"/>
      <c r="X138" s="1287"/>
      <c r="Y138" s="1287"/>
      <c r="Z138" s="482"/>
      <c r="AA138" s="1287"/>
      <c r="AB138" s="1287"/>
      <c r="AC138" s="1287"/>
      <c r="AD138" s="1287"/>
      <c r="AE138" s="1287"/>
      <c r="AF138" s="1553"/>
      <c r="AG138" s="560"/>
      <c r="AH138" s="560"/>
      <c r="AI138" s="560"/>
      <c r="AJ138" s="560"/>
      <c r="AK138" s="1562">
        <v>11</v>
      </c>
    </row>
    <row r="139" spans="1:37" s="4299" customFormat="1" ht="11.45" customHeight="1">
      <c r="A139" s="913"/>
      <c r="B139" s="913"/>
      <c r="C139" s="913"/>
      <c r="D139" s="913"/>
      <c r="E139" s="913"/>
      <c r="F139" s="1557"/>
      <c r="G139" s="1557"/>
      <c r="H139" s="289"/>
      <c r="N139" s="1287"/>
      <c r="P139" s="1287"/>
      <c r="Q139" s="1557"/>
      <c r="R139" s="1557"/>
      <c r="S139" s="1287"/>
      <c r="T139" s="1287"/>
      <c r="U139" s="1287"/>
      <c r="V139" s="1287"/>
      <c r="W139" s="1557"/>
      <c r="X139" s="1287"/>
      <c r="Y139" s="1287"/>
      <c r="Z139" s="482"/>
      <c r="AA139" s="1287"/>
      <c r="AB139" s="1287"/>
      <c r="AC139" s="1287"/>
      <c r="AD139" s="1287"/>
      <c r="AE139" s="1287"/>
      <c r="AF139" s="1553"/>
      <c r="AG139" s="560"/>
      <c r="AH139" s="560"/>
      <c r="AI139" s="560"/>
      <c r="AJ139" s="560"/>
      <c r="AK139" s="1562">
        <v>11</v>
      </c>
    </row>
    <row r="140" spans="1:37" s="4299" customFormat="1" ht="11.45" customHeight="1">
      <c r="A140" s="913"/>
      <c r="B140" s="913"/>
      <c r="C140" s="913"/>
      <c r="D140" s="913"/>
      <c r="E140" s="913"/>
      <c r="F140" s="1557"/>
      <c r="G140" s="1557"/>
      <c r="H140" s="289"/>
      <c r="N140" s="1287"/>
      <c r="P140" s="1287"/>
      <c r="Q140" s="1557"/>
      <c r="R140" s="1557"/>
      <c r="S140" s="1287"/>
      <c r="T140" s="1287"/>
      <c r="U140" s="1287"/>
      <c r="V140" s="1287"/>
      <c r="W140" s="1557"/>
      <c r="X140" s="1287"/>
      <c r="Y140" s="1287"/>
      <c r="Z140" s="482"/>
      <c r="AA140" s="1287"/>
      <c r="AB140" s="1287"/>
      <c r="AC140" s="1287"/>
      <c r="AD140" s="1287"/>
      <c r="AE140" s="1287"/>
      <c r="AF140" s="1553"/>
      <c r="AG140" s="560"/>
      <c r="AH140" s="560"/>
      <c r="AI140" s="560"/>
      <c r="AJ140" s="560"/>
      <c r="AK140" s="1562">
        <v>11</v>
      </c>
    </row>
    <row r="141" spans="1:37" s="4299" customFormat="1" ht="11.45" customHeight="1">
      <c r="A141" s="913"/>
      <c r="B141" s="913"/>
      <c r="C141" s="913"/>
      <c r="D141" s="913"/>
      <c r="E141" s="913"/>
      <c r="F141" s="1557"/>
      <c r="G141" s="1557"/>
      <c r="H141" s="289"/>
      <c r="N141" s="1287"/>
      <c r="P141" s="1287"/>
      <c r="Q141" s="1557"/>
      <c r="R141" s="1557"/>
      <c r="S141" s="1287"/>
      <c r="T141" s="1287"/>
      <c r="U141" s="1287"/>
      <c r="V141" s="1287"/>
      <c r="W141" s="1557"/>
      <c r="X141" s="1287"/>
      <c r="Y141" s="1287"/>
      <c r="Z141" s="482"/>
      <c r="AA141" s="1287"/>
      <c r="AB141" s="1287"/>
      <c r="AC141" s="1287"/>
      <c r="AD141" s="1287"/>
      <c r="AE141" s="1287"/>
      <c r="AF141" s="1553"/>
      <c r="AG141" s="560"/>
      <c r="AH141" s="560"/>
      <c r="AI141" s="560"/>
      <c r="AJ141" s="560"/>
      <c r="AK141" s="1562">
        <v>11</v>
      </c>
    </row>
    <row r="142" spans="1:37" s="4299" customFormat="1" ht="11.45" customHeight="1">
      <c r="A142" s="913"/>
      <c r="B142" s="913"/>
      <c r="C142" s="913"/>
      <c r="D142" s="913"/>
      <c r="E142" s="913"/>
      <c r="F142" s="1557"/>
      <c r="G142" s="1557"/>
      <c r="H142" s="289"/>
      <c r="N142" s="1287"/>
      <c r="P142" s="1287"/>
      <c r="Q142" s="1557"/>
      <c r="R142" s="1557"/>
      <c r="S142" s="1287"/>
      <c r="T142" s="1287"/>
      <c r="U142" s="1287"/>
      <c r="V142" s="1287"/>
      <c r="W142" s="1557"/>
      <c r="X142" s="1287"/>
      <c r="Y142" s="1287"/>
      <c r="Z142" s="482"/>
      <c r="AA142" s="1287"/>
      <c r="AB142" s="1287"/>
      <c r="AC142" s="1287"/>
      <c r="AD142" s="1287"/>
      <c r="AE142" s="1287"/>
      <c r="AF142" s="1553"/>
      <c r="AG142" s="560"/>
      <c r="AH142" s="560"/>
      <c r="AI142" s="560"/>
      <c r="AJ142" s="560"/>
      <c r="AK142" s="1562">
        <v>11</v>
      </c>
    </row>
    <row r="143" spans="1:37" s="4299" customFormat="1" ht="11.45" customHeight="1">
      <c r="A143" s="913"/>
      <c r="B143" s="913"/>
      <c r="C143" s="913"/>
      <c r="D143" s="913"/>
      <c r="E143" s="913"/>
      <c r="F143" s="1557"/>
      <c r="G143" s="1557"/>
      <c r="H143" s="289"/>
      <c r="N143" s="1287"/>
      <c r="P143" s="1287"/>
      <c r="Q143" s="1557"/>
      <c r="R143" s="1557"/>
      <c r="S143" s="1287"/>
      <c r="T143" s="1287"/>
      <c r="U143" s="1287"/>
      <c r="V143" s="1287"/>
      <c r="W143" s="1557"/>
      <c r="X143" s="1287"/>
      <c r="Y143" s="1287"/>
      <c r="Z143" s="482"/>
      <c r="AA143" s="1287"/>
      <c r="AB143" s="1287"/>
      <c r="AC143" s="1287"/>
      <c r="AD143" s="1287"/>
      <c r="AE143" s="1287"/>
      <c r="AF143" s="1553"/>
      <c r="AG143" s="560"/>
      <c r="AH143" s="560"/>
      <c r="AI143" s="560"/>
      <c r="AJ143" s="560"/>
      <c r="AK143" s="1562">
        <v>11</v>
      </c>
    </row>
    <row r="144" spans="1:37" s="4299" customFormat="1" ht="11.45" customHeight="1">
      <c r="A144" s="913"/>
      <c r="B144" s="913"/>
      <c r="C144" s="913"/>
      <c r="D144" s="913"/>
      <c r="E144" s="913"/>
      <c r="F144" s="1557"/>
      <c r="G144" s="1557"/>
      <c r="H144" s="289"/>
      <c r="N144" s="1287"/>
      <c r="P144" s="1287"/>
      <c r="Q144" s="1557"/>
      <c r="R144" s="1557"/>
      <c r="S144" s="1287"/>
      <c r="T144" s="1287"/>
      <c r="U144" s="1287"/>
      <c r="V144" s="1287"/>
      <c r="W144" s="1557"/>
      <c r="X144" s="1287"/>
      <c r="Y144" s="1287"/>
      <c r="Z144" s="482"/>
      <c r="AA144" s="1287"/>
      <c r="AB144" s="1287"/>
      <c r="AC144" s="1287"/>
      <c r="AD144" s="1287"/>
      <c r="AE144" s="1287"/>
      <c r="AF144" s="1553"/>
      <c r="AG144" s="560"/>
      <c r="AH144" s="560"/>
      <c r="AI144" s="560"/>
      <c r="AJ144" s="560"/>
      <c r="AK144" s="1562">
        <v>11</v>
      </c>
    </row>
    <row r="145" spans="1:37" s="4299" customFormat="1" ht="11.45" customHeight="1">
      <c r="A145" s="913"/>
      <c r="B145" s="913"/>
      <c r="C145" s="913"/>
      <c r="D145" s="913"/>
      <c r="E145" s="913"/>
      <c r="F145" s="1557"/>
      <c r="G145" s="1557"/>
      <c r="H145" s="289"/>
      <c r="N145" s="1287"/>
      <c r="P145" s="1287"/>
      <c r="Q145" s="1557"/>
      <c r="R145" s="1557"/>
      <c r="S145" s="1287"/>
      <c r="T145" s="1287"/>
      <c r="U145" s="1287"/>
      <c r="V145" s="1287"/>
      <c r="W145" s="1557"/>
      <c r="X145" s="1287"/>
      <c r="Y145" s="1287"/>
      <c r="Z145" s="482"/>
      <c r="AA145" s="1287"/>
      <c r="AB145" s="1287"/>
      <c r="AC145" s="1287"/>
      <c r="AD145" s="1287"/>
      <c r="AE145" s="1287"/>
      <c r="AF145" s="1553"/>
      <c r="AG145" s="560"/>
      <c r="AH145" s="560"/>
      <c r="AI145" s="560"/>
      <c r="AJ145" s="560"/>
      <c r="AK145" s="1562">
        <v>11</v>
      </c>
    </row>
    <row r="146" spans="1:37" s="4299" customFormat="1" ht="11.45" customHeight="1">
      <c r="A146" s="913"/>
      <c r="B146" s="913"/>
      <c r="C146" s="913"/>
      <c r="D146" s="913"/>
      <c r="E146" s="913"/>
      <c r="F146" s="1557"/>
      <c r="G146" s="1557"/>
      <c r="H146" s="289"/>
      <c r="N146" s="1287"/>
      <c r="P146" s="1287"/>
      <c r="Q146" s="1557"/>
      <c r="R146" s="1557"/>
      <c r="S146" s="1287"/>
      <c r="T146" s="1287"/>
      <c r="U146" s="1287"/>
      <c r="V146" s="1287"/>
      <c r="W146" s="1557"/>
      <c r="X146" s="1287"/>
      <c r="Y146" s="1287"/>
      <c r="Z146" s="482"/>
      <c r="AA146" s="1287"/>
      <c r="AB146" s="1287"/>
      <c r="AC146" s="1287"/>
      <c r="AD146" s="1287"/>
      <c r="AE146" s="1287"/>
      <c r="AF146" s="1553"/>
      <c r="AG146" s="560"/>
      <c r="AH146" s="560"/>
      <c r="AI146" s="560"/>
      <c r="AJ146" s="560"/>
      <c r="AK146" s="1562">
        <v>11</v>
      </c>
    </row>
    <row r="147" spans="1:37" s="4299" customFormat="1" ht="11.45" customHeight="1">
      <c r="A147" s="913"/>
      <c r="B147" s="913"/>
      <c r="C147" s="913"/>
      <c r="D147" s="913"/>
      <c r="E147" s="913"/>
      <c r="F147" s="1557"/>
      <c r="G147" s="1557"/>
      <c r="H147" s="289"/>
      <c r="N147" s="1287"/>
      <c r="P147" s="1287"/>
      <c r="Q147" s="1557"/>
      <c r="R147" s="1557"/>
      <c r="S147" s="1287"/>
      <c r="T147" s="1287"/>
      <c r="U147" s="1287"/>
      <c r="V147" s="1287"/>
      <c r="W147" s="1557"/>
      <c r="X147" s="1287"/>
      <c r="Y147" s="1287"/>
      <c r="Z147" s="482"/>
      <c r="AA147" s="1287"/>
      <c r="AB147" s="1287"/>
      <c r="AC147" s="1287"/>
      <c r="AD147" s="1287"/>
      <c r="AE147" s="1287"/>
      <c r="AF147" s="1553"/>
      <c r="AG147" s="560"/>
      <c r="AH147" s="560"/>
      <c r="AI147" s="560"/>
      <c r="AJ147" s="560"/>
      <c r="AK147" s="1562">
        <v>11</v>
      </c>
    </row>
    <row r="148" spans="1:37" s="4299" customFormat="1" ht="11.45" customHeight="1">
      <c r="A148" s="913"/>
      <c r="B148" s="913"/>
      <c r="C148" s="913"/>
      <c r="D148" s="913"/>
      <c r="E148" s="913"/>
      <c r="F148" s="1557"/>
      <c r="G148" s="1557"/>
      <c r="H148" s="289"/>
      <c r="N148" s="1287"/>
      <c r="P148" s="1287"/>
      <c r="Q148" s="1557"/>
      <c r="R148" s="1557"/>
      <c r="S148" s="1287"/>
      <c r="T148" s="1287"/>
      <c r="U148" s="1287"/>
      <c r="V148" s="1287"/>
      <c r="W148" s="1557"/>
      <c r="X148" s="1287"/>
      <c r="Y148" s="1287"/>
      <c r="Z148" s="482"/>
      <c r="AA148" s="1287"/>
      <c r="AB148" s="1287"/>
      <c r="AC148" s="1287"/>
      <c r="AD148" s="1287"/>
      <c r="AE148" s="1287"/>
      <c r="AF148" s="1553"/>
      <c r="AG148" s="560"/>
      <c r="AH148" s="560"/>
      <c r="AI148" s="560"/>
      <c r="AJ148" s="560"/>
      <c r="AK148" s="1562">
        <v>11</v>
      </c>
    </row>
    <row r="149" spans="1:37" s="4299" customFormat="1" ht="11.45" customHeight="1">
      <c r="A149" s="913"/>
      <c r="B149" s="913"/>
      <c r="C149" s="913"/>
      <c r="D149" s="913"/>
      <c r="E149" s="913"/>
      <c r="F149" s="1557"/>
      <c r="G149" s="1557"/>
      <c r="H149" s="289"/>
      <c r="N149" s="1287"/>
      <c r="P149" s="1287"/>
      <c r="Q149" s="1557"/>
      <c r="R149" s="1557"/>
      <c r="S149" s="1287"/>
      <c r="T149" s="1287"/>
      <c r="U149" s="1287"/>
      <c r="V149" s="1287"/>
      <c r="W149" s="1557"/>
      <c r="X149" s="1287"/>
      <c r="Y149" s="1287"/>
      <c r="Z149" s="482"/>
      <c r="AA149" s="1287"/>
      <c r="AB149" s="1287"/>
      <c r="AC149" s="1287"/>
      <c r="AD149" s="1287"/>
      <c r="AE149" s="1287"/>
      <c r="AF149" s="1553"/>
      <c r="AG149" s="560"/>
      <c r="AH149" s="560"/>
      <c r="AI149" s="560"/>
      <c r="AJ149" s="560"/>
      <c r="AK149" s="1562">
        <v>11</v>
      </c>
    </row>
    <row r="150" spans="1:37" s="4299" customFormat="1" ht="11.45" customHeight="1">
      <c r="A150" s="913"/>
      <c r="B150" s="913"/>
      <c r="C150" s="913"/>
      <c r="D150" s="913"/>
      <c r="E150" s="913"/>
      <c r="F150" s="1557"/>
      <c r="G150" s="1557"/>
      <c r="H150" s="289"/>
      <c r="N150" s="1287"/>
      <c r="P150" s="1287"/>
      <c r="Q150" s="1557"/>
      <c r="R150" s="1557"/>
      <c r="S150" s="1287"/>
      <c r="T150" s="1287"/>
      <c r="U150" s="1287"/>
      <c r="V150" s="1287"/>
      <c r="W150" s="1557"/>
      <c r="X150" s="1287"/>
      <c r="Y150" s="1287"/>
      <c r="Z150" s="482"/>
      <c r="AA150" s="1287"/>
      <c r="AB150" s="1287"/>
      <c r="AC150" s="1287"/>
      <c r="AD150" s="1287"/>
      <c r="AE150" s="1287"/>
      <c r="AF150" s="1553"/>
      <c r="AG150" s="560"/>
      <c r="AH150" s="560"/>
      <c r="AI150" s="560"/>
      <c r="AJ150" s="560"/>
      <c r="AK150" s="1562">
        <v>11</v>
      </c>
    </row>
    <row r="151" spans="1:37" s="4299" customFormat="1" ht="11.45" customHeight="1">
      <c r="A151" s="913"/>
      <c r="B151" s="913"/>
      <c r="C151" s="913"/>
      <c r="D151" s="913"/>
      <c r="E151" s="913"/>
      <c r="F151" s="1557"/>
      <c r="G151" s="1557"/>
      <c r="H151" s="289"/>
      <c r="N151" s="1287"/>
      <c r="P151" s="1287"/>
      <c r="Q151" s="1557"/>
      <c r="R151" s="1557"/>
      <c r="S151" s="1287"/>
      <c r="T151" s="1287"/>
      <c r="U151" s="1287"/>
      <c r="V151" s="1287"/>
      <c r="W151" s="1557"/>
      <c r="X151" s="1287"/>
      <c r="Y151" s="1287"/>
      <c r="Z151" s="482"/>
      <c r="AA151" s="1287"/>
      <c r="AB151" s="1287"/>
      <c r="AC151" s="1287"/>
      <c r="AD151" s="1287"/>
      <c r="AE151" s="1287"/>
      <c r="AF151" s="1553"/>
      <c r="AG151" s="560"/>
      <c r="AH151" s="560"/>
      <c r="AI151" s="560"/>
      <c r="AJ151" s="560"/>
      <c r="AK151" s="1562">
        <v>11</v>
      </c>
    </row>
    <row r="152" spans="1:37" s="4299" customFormat="1" ht="11.45" customHeight="1">
      <c r="A152" s="913"/>
      <c r="B152" s="913"/>
      <c r="C152" s="913"/>
      <c r="D152" s="913"/>
      <c r="E152" s="913"/>
      <c r="F152" s="1557"/>
      <c r="G152" s="1557"/>
      <c r="H152" s="289"/>
      <c r="N152" s="1287"/>
      <c r="P152" s="1287"/>
      <c r="Q152" s="1557"/>
      <c r="R152" s="1557"/>
      <c r="S152" s="1287"/>
      <c r="T152" s="1287"/>
      <c r="U152" s="1287"/>
      <c r="V152" s="1287"/>
      <c r="W152" s="1557"/>
      <c r="X152" s="1287"/>
      <c r="Y152" s="1287"/>
      <c r="Z152" s="482"/>
      <c r="AA152" s="1287"/>
      <c r="AB152" s="1287"/>
      <c r="AC152" s="1287"/>
      <c r="AD152" s="1287"/>
      <c r="AE152" s="1287"/>
      <c r="AF152" s="1553"/>
      <c r="AG152" s="560"/>
      <c r="AH152" s="560"/>
      <c r="AI152" s="560"/>
      <c r="AJ152" s="560"/>
      <c r="AK152" s="1562">
        <v>11</v>
      </c>
    </row>
    <row r="153" spans="1:37" s="4299" customFormat="1" ht="11.45" customHeight="1">
      <c r="A153" s="913"/>
      <c r="B153" s="913"/>
      <c r="C153" s="913"/>
      <c r="D153" s="913"/>
      <c r="E153" s="913"/>
      <c r="F153" s="1557"/>
      <c r="G153" s="1557"/>
      <c r="H153" s="289"/>
      <c r="N153" s="1287"/>
      <c r="P153" s="1287"/>
      <c r="Q153" s="1557"/>
      <c r="R153" s="1557"/>
      <c r="S153" s="1287"/>
      <c r="T153" s="1287"/>
      <c r="U153" s="1287"/>
      <c r="V153" s="1287"/>
      <c r="W153" s="1557"/>
      <c r="X153" s="1287"/>
      <c r="Y153" s="1287"/>
      <c r="Z153" s="482"/>
      <c r="AA153" s="1287"/>
      <c r="AB153" s="1287"/>
      <c r="AC153" s="1287"/>
      <c r="AD153" s="1287"/>
      <c r="AE153" s="1287"/>
      <c r="AF153" s="1553"/>
      <c r="AG153" s="560"/>
      <c r="AH153" s="560"/>
      <c r="AI153" s="560"/>
      <c r="AJ153" s="560"/>
      <c r="AK153" s="1562">
        <v>11</v>
      </c>
    </row>
    <row r="154" spans="1:37" s="4299" customFormat="1" ht="11.45" customHeight="1">
      <c r="A154" s="913"/>
      <c r="B154" s="913"/>
      <c r="C154" s="913"/>
      <c r="D154" s="913"/>
      <c r="E154" s="913"/>
      <c r="F154" s="1557"/>
      <c r="G154" s="1557"/>
      <c r="H154" s="289"/>
      <c r="N154" s="1287"/>
      <c r="P154" s="1287"/>
      <c r="Q154" s="1557"/>
      <c r="R154" s="1557"/>
      <c r="S154" s="1287"/>
      <c r="T154" s="1287"/>
      <c r="U154" s="1287"/>
      <c r="V154" s="1287"/>
      <c r="W154" s="1557"/>
      <c r="X154" s="1287"/>
      <c r="Y154" s="1287"/>
      <c r="Z154" s="482"/>
      <c r="AA154" s="1287"/>
      <c r="AB154" s="1287"/>
      <c r="AC154" s="1287"/>
      <c r="AD154" s="1287"/>
      <c r="AE154" s="1287"/>
      <c r="AF154" s="1553"/>
      <c r="AG154" s="560"/>
      <c r="AH154" s="560"/>
      <c r="AI154" s="560"/>
      <c r="AJ154" s="560"/>
      <c r="AK154" s="1562">
        <v>11</v>
      </c>
    </row>
    <row r="155" spans="1:37" s="4299" customFormat="1" ht="11.45" customHeight="1">
      <c r="A155" s="913"/>
      <c r="B155" s="913"/>
      <c r="C155" s="913"/>
      <c r="D155" s="913"/>
      <c r="E155" s="913"/>
      <c r="F155" s="1557"/>
      <c r="G155" s="1557"/>
      <c r="H155" s="289"/>
      <c r="N155" s="1287"/>
      <c r="P155" s="1287"/>
      <c r="Q155" s="1557"/>
      <c r="R155" s="1557"/>
      <c r="S155" s="1287"/>
      <c r="T155" s="1287"/>
      <c r="U155" s="1287"/>
      <c r="V155" s="1287"/>
      <c r="W155" s="1557"/>
      <c r="X155" s="1287"/>
      <c r="Y155" s="1287"/>
      <c r="Z155" s="482"/>
      <c r="AA155" s="1287"/>
      <c r="AB155" s="1287"/>
      <c r="AC155" s="1287"/>
      <c r="AD155" s="1287"/>
      <c r="AE155" s="1287"/>
      <c r="AF155" s="1553"/>
      <c r="AG155" s="560"/>
      <c r="AH155" s="560"/>
      <c r="AI155" s="560"/>
      <c r="AJ155" s="560"/>
      <c r="AK155" s="1562">
        <v>11</v>
      </c>
    </row>
    <row r="156" spans="1:37" s="4299" customFormat="1" ht="11.45" customHeight="1">
      <c r="A156" s="913"/>
      <c r="B156" s="913"/>
      <c r="C156" s="913"/>
      <c r="D156" s="913"/>
      <c r="E156" s="913"/>
      <c r="F156" s="1557"/>
      <c r="G156" s="1557"/>
      <c r="H156" s="289"/>
      <c r="N156" s="1287"/>
      <c r="P156" s="1287"/>
      <c r="Q156" s="1557"/>
      <c r="R156" s="1557"/>
      <c r="S156" s="1287"/>
      <c r="T156" s="1287"/>
      <c r="U156" s="1287"/>
      <c r="V156" s="1287"/>
      <c r="W156" s="1557"/>
      <c r="X156" s="1287"/>
      <c r="Y156" s="1287"/>
      <c r="Z156" s="482"/>
      <c r="AA156" s="1287"/>
      <c r="AB156" s="1287"/>
      <c r="AC156" s="1287"/>
      <c r="AD156" s="1287"/>
      <c r="AE156" s="1287"/>
      <c r="AF156" s="1553"/>
      <c r="AG156" s="560"/>
      <c r="AH156" s="560"/>
      <c r="AI156" s="560"/>
      <c r="AJ156" s="560"/>
      <c r="AK156" s="1562">
        <v>11</v>
      </c>
    </row>
    <row r="157" spans="1:37" s="4299" customFormat="1" ht="11.45" customHeight="1">
      <c r="A157" s="913"/>
      <c r="B157" s="913"/>
      <c r="C157" s="913"/>
      <c r="D157" s="913"/>
      <c r="E157" s="913"/>
      <c r="F157" s="1557"/>
      <c r="G157" s="1557"/>
      <c r="H157" s="289"/>
      <c r="N157" s="1287"/>
      <c r="P157" s="1287"/>
      <c r="Q157" s="1557"/>
      <c r="R157" s="1557"/>
      <c r="S157" s="1287"/>
      <c r="T157" s="1287"/>
      <c r="U157" s="1287"/>
      <c r="V157" s="1287"/>
      <c r="W157" s="1557"/>
      <c r="X157" s="1287"/>
      <c r="Y157" s="1287"/>
      <c r="Z157" s="482"/>
      <c r="AA157" s="1287"/>
      <c r="AB157" s="1287"/>
      <c r="AC157" s="1287"/>
      <c r="AD157" s="1287"/>
      <c r="AE157" s="1287"/>
      <c r="AF157" s="1553"/>
      <c r="AG157" s="560"/>
      <c r="AH157" s="560"/>
      <c r="AI157" s="560"/>
      <c r="AJ157" s="560"/>
      <c r="AK157" s="1562">
        <v>11</v>
      </c>
    </row>
    <row r="158" spans="1:37" s="4299" customFormat="1" ht="11.45" customHeight="1">
      <c r="A158" s="913"/>
      <c r="B158" s="913"/>
      <c r="C158" s="913"/>
      <c r="D158" s="913"/>
      <c r="E158" s="913"/>
      <c r="F158" s="1557"/>
      <c r="G158" s="1557"/>
      <c r="H158" s="289"/>
      <c r="N158" s="1287"/>
      <c r="P158" s="1287"/>
      <c r="Q158" s="1557"/>
      <c r="R158" s="1557"/>
      <c r="S158" s="1287"/>
      <c r="T158" s="1287"/>
      <c r="U158" s="1287"/>
      <c r="V158" s="1287"/>
      <c r="W158" s="1557"/>
      <c r="X158" s="1287"/>
      <c r="Y158" s="1287"/>
      <c r="Z158" s="482"/>
      <c r="AA158" s="1287"/>
      <c r="AB158" s="1287"/>
      <c r="AC158" s="1287"/>
      <c r="AD158" s="1287"/>
      <c r="AE158" s="1287"/>
      <c r="AF158" s="1553"/>
      <c r="AG158" s="560"/>
      <c r="AH158" s="560"/>
      <c r="AI158" s="560"/>
      <c r="AJ158" s="560"/>
      <c r="AK158" s="1562">
        <v>11</v>
      </c>
    </row>
    <row r="159" spans="1:37" s="4299" customFormat="1" ht="11.45" customHeight="1">
      <c r="A159" s="913"/>
      <c r="B159" s="913"/>
      <c r="C159" s="913"/>
      <c r="D159" s="913"/>
      <c r="E159" s="913"/>
      <c r="F159" s="1557"/>
      <c r="G159" s="1557"/>
      <c r="H159" s="289"/>
      <c r="N159" s="1287"/>
      <c r="P159" s="1287"/>
      <c r="Q159" s="1557"/>
      <c r="R159" s="1557"/>
      <c r="S159" s="1287"/>
      <c r="T159" s="1287"/>
      <c r="U159" s="1287"/>
      <c r="V159" s="1287"/>
      <c r="W159" s="1557"/>
      <c r="X159" s="1287"/>
      <c r="Y159" s="1287"/>
      <c r="Z159" s="482"/>
      <c r="AA159" s="1287"/>
      <c r="AB159" s="1287"/>
      <c r="AC159" s="1287"/>
      <c r="AD159" s="1287"/>
      <c r="AE159" s="1287"/>
      <c r="AF159" s="1553"/>
      <c r="AG159" s="560"/>
      <c r="AH159" s="560"/>
      <c r="AI159" s="560"/>
      <c r="AJ159" s="560"/>
      <c r="AK159" s="1562">
        <v>11</v>
      </c>
    </row>
    <row r="160" spans="1:37" s="4299" customFormat="1" ht="11.45" customHeight="1">
      <c r="A160" s="913"/>
      <c r="B160" s="913"/>
      <c r="C160" s="913"/>
      <c r="D160" s="913"/>
      <c r="E160" s="913"/>
      <c r="F160" s="1557"/>
      <c r="G160" s="1557"/>
      <c r="H160" s="289"/>
      <c r="N160" s="1287"/>
      <c r="P160" s="1287"/>
      <c r="Q160" s="1557"/>
      <c r="R160" s="1557"/>
      <c r="S160" s="1287"/>
      <c r="T160" s="1287"/>
      <c r="U160" s="1287"/>
      <c r="V160" s="1287"/>
      <c r="W160" s="1557"/>
      <c r="X160" s="1287"/>
      <c r="Y160" s="1287"/>
      <c r="Z160" s="482"/>
      <c r="AA160" s="1287"/>
      <c r="AB160" s="1287"/>
      <c r="AC160" s="1287"/>
      <c r="AD160" s="1287"/>
      <c r="AE160" s="1287"/>
      <c r="AF160" s="1553"/>
      <c r="AG160" s="560"/>
      <c r="AH160" s="560"/>
      <c r="AI160" s="560"/>
      <c r="AJ160" s="560"/>
      <c r="AK160" s="1562">
        <v>11</v>
      </c>
    </row>
    <row r="161" spans="1:37" s="4299" customFormat="1" ht="11.45" customHeight="1">
      <c r="A161" s="913"/>
      <c r="B161" s="913"/>
      <c r="C161" s="913"/>
      <c r="D161" s="913"/>
      <c r="E161" s="913"/>
      <c r="F161" s="1557"/>
      <c r="G161" s="1557"/>
      <c r="H161" s="289"/>
      <c r="N161" s="1287"/>
      <c r="P161" s="1287"/>
      <c r="Q161" s="1557"/>
      <c r="R161" s="1557"/>
      <c r="S161" s="1287"/>
      <c r="T161" s="1287"/>
      <c r="U161" s="1287"/>
      <c r="V161" s="1287"/>
      <c r="W161" s="1557"/>
      <c r="X161" s="1287"/>
      <c r="Y161" s="1287"/>
      <c r="Z161" s="482"/>
      <c r="AA161" s="1287"/>
      <c r="AB161" s="1287"/>
      <c r="AC161" s="1287"/>
      <c r="AD161" s="1287"/>
      <c r="AE161" s="1287"/>
      <c r="AF161" s="1553"/>
      <c r="AG161" s="560"/>
      <c r="AH161" s="560"/>
      <c r="AI161" s="560"/>
      <c r="AJ161" s="560"/>
      <c r="AK161" s="1562">
        <v>11</v>
      </c>
    </row>
    <row r="162" spans="1:37" s="4299" customFormat="1" ht="11.45" customHeight="1">
      <c r="A162" s="913"/>
      <c r="B162" s="913"/>
      <c r="C162" s="913"/>
      <c r="D162" s="913"/>
      <c r="E162" s="913"/>
      <c r="F162" s="1557"/>
      <c r="G162" s="1557"/>
      <c r="H162" s="289"/>
      <c r="N162" s="1287"/>
      <c r="P162" s="1287"/>
      <c r="Q162" s="1557"/>
      <c r="R162" s="1557"/>
      <c r="S162" s="1287"/>
      <c r="T162" s="1287"/>
      <c r="U162" s="1287"/>
      <c r="V162" s="1287"/>
      <c r="W162" s="1557"/>
      <c r="X162" s="1287"/>
      <c r="Y162" s="1287"/>
      <c r="Z162" s="482"/>
      <c r="AA162" s="1287"/>
      <c r="AB162" s="1287"/>
      <c r="AC162" s="1287"/>
      <c r="AD162" s="1287"/>
      <c r="AE162" s="1287"/>
      <c r="AF162" s="1553"/>
      <c r="AG162" s="560"/>
      <c r="AH162" s="560"/>
      <c r="AI162" s="560"/>
      <c r="AJ162" s="560"/>
      <c r="AK162" s="1562">
        <v>11</v>
      </c>
    </row>
    <row r="163" spans="1:37" s="4299" customFormat="1" ht="11.45" customHeight="1">
      <c r="A163" s="913"/>
      <c r="B163" s="913"/>
      <c r="C163" s="913"/>
      <c r="D163" s="913"/>
      <c r="E163" s="913"/>
      <c r="F163" s="1557"/>
      <c r="G163" s="1557"/>
      <c r="H163" s="289"/>
      <c r="N163" s="1287"/>
      <c r="P163" s="1287"/>
      <c r="Q163" s="1557"/>
      <c r="R163" s="1557"/>
      <c r="S163" s="1287"/>
      <c r="T163" s="1287"/>
      <c r="U163" s="1287"/>
      <c r="V163" s="1287"/>
      <c r="W163" s="1557"/>
      <c r="X163" s="1287"/>
      <c r="Y163" s="1287"/>
      <c r="Z163" s="482"/>
      <c r="AA163" s="1287"/>
      <c r="AB163" s="1287"/>
      <c r="AC163" s="1287"/>
      <c r="AD163" s="1287"/>
      <c r="AE163" s="1287"/>
      <c r="AF163" s="1553"/>
      <c r="AG163" s="560"/>
      <c r="AH163" s="560"/>
      <c r="AI163" s="560"/>
      <c r="AJ163" s="560"/>
      <c r="AK163" s="1562">
        <v>11</v>
      </c>
    </row>
    <row r="164" spans="1:37" s="4299" customFormat="1" ht="11.45" customHeight="1">
      <c r="A164" s="913"/>
      <c r="B164" s="913"/>
      <c r="C164" s="913"/>
      <c r="D164" s="913"/>
      <c r="E164" s="913"/>
      <c r="F164" s="1557"/>
      <c r="G164" s="1557"/>
      <c r="H164" s="289"/>
      <c r="N164" s="1287"/>
      <c r="P164" s="1287"/>
      <c r="Q164" s="1557"/>
      <c r="R164" s="1557"/>
      <c r="S164" s="1287"/>
      <c r="T164" s="1287"/>
      <c r="U164" s="1287"/>
      <c r="V164" s="1287"/>
      <c r="W164" s="1557"/>
      <c r="X164" s="1287"/>
      <c r="Y164" s="1287"/>
      <c r="Z164" s="482"/>
      <c r="AA164" s="1287"/>
      <c r="AB164" s="1287"/>
      <c r="AC164" s="1287"/>
      <c r="AD164" s="1287"/>
      <c r="AE164" s="1287"/>
      <c r="AF164" s="1553"/>
      <c r="AG164" s="560"/>
      <c r="AH164" s="560"/>
      <c r="AI164" s="560"/>
      <c r="AJ164" s="560"/>
      <c r="AK164" s="1562">
        <v>11</v>
      </c>
    </row>
    <row r="165" spans="1:37" s="4299" customFormat="1" ht="11.45" customHeight="1">
      <c r="A165" s="913"/>
      <c r="B165" s="913"/>
      <c r="C165" s="913"/>
      <c r="D165" s="913"/>
      <c r="E165" s="913"/>
      <c r="F165" s="1557"/>
      <c r="G165" s="1557"/>
      <c r="H165" s="289"/>
      <c r="N165" s="1287"/>
      <c r="P165" s="1287"/>
      <c r="Q165" s="1557"/>
      <c r="R165" s="1557"/>
      <c r="S165" s="1287"/>
      <c r="T165" s="1287"/>
      <c r="U165" s="1287"/>
      <c r="V165" s="1287"/>
      <c r="W165" s="1557"/>
      <c r="X165" s="1287"/>
      <c r="Y165" s="1287"/>
      <c r="Z165" s="482"/>
      <c r="AA165" s="1287"/>
      <c r="AB165" s="1287"/>
      <c r="AC165" s="1287"/>
      <c r="AD165" s="1287"/>
      <c r="AE165" s="1287"/>
      <c r="AF165" s="1553"/>
      <c r="AG165" s="560"/>
      <c r="AH165" s="560"/>
      <c r="AI165" s="560"/>
      <c r="AJ165" s="560"/>
      <c r="AK165" s="1562">
        <v>11</v>
      </c>
    </row>
    <row r="166" spans="1:37" s="4299" customFormat="1" ht="11.45" customHeight="1">
      <c r="A166" s="913"/>
      <c r="B166" s="913"/>
      <c r="C166" s="913"/>
      <c r="D166" s="913"/>
      <c r="E166" s="913"/>
      <c r="F166" s="1557"/>
      <c r="G166" s="1557"/>
      <c r="H166" s="289"/>
      <c r="N166" s="1287"/>
      <c r="P166" s="1287"/>
      <c r="Q166" s="1557"/>
      <c r="R166" s="1557"/>
      <c r="S166" s="1287"/>
      <c r="T166" s="1287"/>
      <c r="U166" s="1287"/>
      <c r="V166" s="1287"/>
      <c r="W166" s="1557"/>
      <c r="X166" s="1287"/>
      <c r="Y166" s="1287"/>
      <c r="Z166" s="482"/>
      <c r="AA166" s="1287"/>
      <c r="AB166" s="1287"/>
      <c r="AC166" s="1287"/>
      <c r="AD166" s="1287"/>
      <c r="AE166" s="1287"/>
      <c r="AF166" s="1553"/>
      <c r="AG166" s="560"/>
      <c r="AH166" s="560"/>
      <c r="AI166" s="560"/>
      <c r="AJ166" s="560"/>
      <c r="AK166" s="1562">
        <v>11</v>
      </c>
    </row>
    <row r="167" spans="1:37" s="4299" customFormat="1" ht="11.45" customHeight="1">
      <c r="A167" s="913"/>
      <c r="B167" s="913"/>
      <c r="C167" s="913"/>
      <c r="D167" s="913"/>
      <c r="E167" s="913"/>
      <c r="F167" s="1557"/>
      <c r="G167" s="1557"/>
      <c r="H167" s="289"/>
      <c r="N167" s="1287"/>
      <c r="P167" s="1287"/>
      <c r="Q167" s="1557"/>
      <c r="R167" s="1557"/>
      <c r="S167" s="1287"/>
      <c r="T167" s="1287"/>
      <c r="U167" s="1287"/>
      <c r="V167" s="1287"/>
      <c r="W167" s="1557"/>
      <c r="X167" s="1287"/>
      <c r="Y167" s="1287"/>
      <c r="Z167" s="482"/>
      <c r="AA167" s="1287"/>
      <c r="AB167" s="1287"/>
      <c r="AC167" s="1287"/>
      <c r="AD167" s="1287"/>
      <c r="AE167" s="1287"/>
      <c r="AF167" s="1553"/>
      <c r="AG167" s="560"/>
      <c r="AH167" s="560"/>
      <c r="AI167" s="560"/>
      <c r="AJ167" s="560"/>
      <c r="AK167" s="1562">
        <v>11</v>
      </c>
    </row>
    <row r="168" spans="1:37" s="4299" customFormat="1" ht="11.45" customHeight="1">
      <c r="A168" s="913"/>
      <c r="B168" s="913"/>
      <c r="C168" s="913"/>
      <c r="D168" s="913"/>
      <c r="E168" s="913"/>
      <c r="F168" s="1557"/>
      <c r="G168" s="1557"/>
      <c r="H168" s="289"/>
      <c r="N168" s="1287"/>
      <c r="P168" s="1287"/>
      <c r="Q168" s="1557"/>
      <c r="R168" s="1557"/>
      <c r="S168" s="1287"/>
      <c r="T168" s="1287"/>
      <c r="U168" s="1287"/>
      <c r="V168" s="1287"/>
      <c r="W168" s="1557"/>
      <c r="X168" s="1287"/>
      <c r="Y168" s="1287"/>
      <c r="Z168" s="482"/>
      <c r="AA168" s="1287"/>
      <c r="AB168" s="1287"/>
      <c r="AC168" s="1287"/>
      <c r="AD168" s="1287"/>
      <c r="AE168" s="1287"/>
      <c r="AF168" s="1553"/>
      <c r="AG168" s="560"/>
      <c r="AH168" s="560"/>
      <c r="AI168" s="560"/>
      <c r="AJ168" s="560"/>
      <c r="AK168" s="1562">
        <v>11</v>
      </c>
    </row>
    <row r="169" spans="1:37" s="4299" customFormat="1" ht="11.45" customHeight="1">
      <c r="A169" s="913"/>
      <c r="B169" s="913"/>
      <c r="C169" s="913"/>
      <c r="D169" s="913"/>
      <c r="E169" s="913"/>
      <c r="F169" s="1557"/>
      <c r="G169" s="1557"/>
      <c r="H169" s="289"/>
      <c r="N169" s="1287"/>
      <c r="P169" s="1287"/>
      <c r="Q169" s="1557"/>
      <c r="R169" s="1557"/>
      <c r="S169" s="1287"/>
      <c r="T169" s="1287"/>
      <c r="U169" s="1287"/>
      <c r="V169" s="1287"/>
      <c r="W169" s="1557"/>
      <c r="X169" s="1287"/>
      <c r="Y169" s="1287"/>
      <c r="Z169" s="482"/>
      <c r="AA169" s="1287"/>
      <c r="AB169" s="1287"/>
      <c r="AC169" s="1287"/>
      <c r="AD169" s="1287"/>
      <c r="AE169" s="1287"/>
      <c r="AF169" s="1553"/>
      <c r="AG169" s="560"/>
      <c r="AH169" s="560"/>
      <c r="AI169" s="560"/>
      <c r="AJ169" s="560"/>
      <c r="AK169" s="1562">
        <v>11</v>
      </c>
    </row>
    <row r="170" spans="1:37" s="4299" customFormat="1" ht="11.45" customHeight="1">
      <c r="A170" s="913"/>
      <c r="B170" s="913"/>
      <c r="C170" s="913"/>
      <c r="D170" s="913"/>
      <c r="E170" s="913"/>
      <c r="F170" s="1557"/>
      <c r="G170" s="1557"/>
      <c r="H170" s="289"/>
      <c r="N170" s="1287"/>
      <c r="P170" s="1287"/>
      <c r="Q170" s="1557"/>
      <c r="R170" s="1557"/>
      <c r="S170" s="1287"/>
      <c r="T170" s="1287"/>
      <c r="U170" s="1287"/>
      <c r="V170" s="1287"/>
      <c r="W170" s="1557"/>
      <c r="X170" s="1287"/>
      <c r="Y170" s="1287"/>
      <c r="Z170" s="482"/>
      <c r="AA170" s="1287"/>
      <c r="AB170" s="1287"/>
      <c r="AC170" s="1287"/>
      <c r="AD170" s="1287"/>
      <c r="AE170" s="1287"/>
      <c r="AF170" s="1553"/>
      <c r="AG170" s="560"/>
      <c r="AH170" s="560"/>
      <c r="AI170" s="560"/>
      <c r="AJ170" s="560"/>
      <c r="AK170" s="1562">
        <v>11</v>
      </c>
    </row>
    <row r="171" spans="1:37" s="4299" customFormat="1" ht="11.45" customHeight="1">
      <c r="A171" s="913"/>
      <c r="B171" s="913"/>
      <c r="C171" s="913"/>
      <c r="D171" s="913"/>
      <c r="E171" s="913"/>
      <c r="F171" s="1557"/>
      <c r="G171" s="1557"/>
      <c r="H171" s="289"/>
      <c r="N171" s="1287"/>
      <c r="P171" s="1287"/>
      <c r="Q171" s="1557"/>
      <c r="R171" s="1557"/>
      <c r="S171" s="1287"/>
      <c r="T171" s="1287"/>
      <c r="U171" s="1287"/>
      <c r="V171" s="1287"/>
      <c r="W171" s="1557"/>
      <c r="X171" s="1287"/>
      <c r="Y171" s="1287"/>
      <c r="Z171" s="482"/>
      <c r="AA171" s="1287"/>
      <c r="AB171" s="1287"/>
      <c r="AC171" s="1287"/>
      <c r="AD171" s="1287"/>
      <c r="AE171" s="1287"/>
      <c r="AF171" s="1553"/>
      <c r="AG171" s="560"/>
      <c r="AH171" s="560"/>
      <c r="AI171" s="560"/>
      <c r="AJ171" s="560"/>
      <c r="AK171" s="1562">
        <v>11</v>
      </c>
    </row>
    <row r="172" spans="1:37" s="4299" customFormat="1" ht="11.45" customHeight="1">
      <c r="A172" s="913"/>
      <c r="B172" s="913"/>
      <c r="C172" s="913"/>
      <c r="D172" s="913"/>
      <c r="E172" s="913"/>
      <c r="F172" s="1557"/>
      <c r="G172" s="1557"/>
      <c r="H172" s="289"/>
      <c r="N172" s="1287"/>
      <c r="P172" s="1287"/>
      <c r="Q172" s="1557"/>
      <c r="R172" s="1557"/>
      <c r="S172" s="1287"/>
      <c r="T172" s="1287"/>
      <c r="U172" s="1287"/>
      <c r="V172" s="1287"/>
      <c r="W172" s="1557"/>
      <c r="X172" s="1287"/>
      <c r="Y172" s="1287"/>
      <c r="Z172" s="482"/>
      <c r="AA172" s="1287"/>
      <c r="AB172" s="1287"/>
      <c r="AC172" s="1287"/>
      <c r="AD172" s="1287"/>
      <c r="AE172" s="1287"/>
      <c r="AF172" s="1553"/>
      <c r="AG172" s="560"/>
      <c r="AH172" s="560"/>
      <c r="AI172" s="560"/>
      <c r="AJ172" s="560"/>
      <c r="AK172" s="1562">
        <v>11</v>
      </c>
    </row>
    <row r="173" spans="1:37" s="4299" customFormat="1" ht="11.45" customHeight="1">
      <c r="A173" s="913"/>
      <c r="B173" s="913"/>
      <c r="C173" s="913"/>
      <c r="D173" s="913"/>
      <c r="E173" s="913"/>
      <c r="F173" s="1557"/>
      <c r="G173" s="1557"/>
      <c r="H173" s="289"/>
      <c r="N173" s="1287"/>
      <c r="P173" s="1287"/>
      <c r="Q173" s="1557"/>
      <c r="R173" s="1557"/>
      <c r="S173" s="1287"/>
      <c r="T173" s="1287"/>
      <c r="U173" s="1287"/>
      <c r="V173" s="1287"/>
      <c r="W173" s="1557"/>
      <c r="X173" s="1287"/>
      <c r="Y173" s="1287"/>
      <c r="Z173" s="482"/>
      <c r="AA173" s="1287"/>
      <c r="AB173" s="1287"/>
      <c r="AC173" s="1287"/>
      <c r="AD173" s="1287"/>
      <c r="AE173" s="1287"/>
      <c r="AF173" s="1553"/>
      <c r="AG173" s="560"/>
      <c r="AH173" s="560"/>
      <c r="AI173" s="560"/>
      <c r="AJ173" s="560"/>
      <c r="AK173" s="1562">
        <v>11</v>
      </c>
    </row>
    <row r="174" spans="1:37" s="4299" customFormat="1" ht="11.45" customHeight="1">
      <c r="A174" s="913"/>
      <c r="B174" s="913"/>
      <c r="C174" s="913"/>
      <c r="D174" s="913"/>
      <c r="E174" s="913"/>
      <c r="F174" s="1557"/>
      <c r="G174" s="1557"/>
      <c r="H174" s="289"/>
      <c r="N174" s="1287"/>
      <c r="P174" s="1287"/>
      <c r="Q174" s="1557"/>
      <c r="R174" s="1557"/>
      <c r="S174" s="1287"/>
      <c r="T174" s="1287"/>
      <c r="U174" s="1287"/>
      <c r="V174" s="1287"/>
      <c r="W174" s="1557"/>
      <c r="X174" s="1287"/>
      <c r="Y174" s="1287"/>
      <c r="Z174" s="482"/>
      <c r="AA174" s="1287"/>
      <c r="AB174" s="1287"/>
      <c r="AC174" s="1287"/>
      <c r="AD174" s="1287"/>
      <c r="AE174" s="1287"/>
      <c r="AF174" s="1553"/>
      <c r="AG174" s="560"/>
      <c r="AH174" s="560"/>
      <c r="AI174" s="560"/>
      <c r="AJ174" s="560"/>
      <c r="AK174" s="1562">
        <v>11</v>
      </c>
    </row>
    <row r="175" spans="1:37" s="4299" customFormat="1" ht="11.45" customHeight="1">
      <c r="A175" s="913"/>
      <c r="B175" s="913"/>
      <c r="C175" s="913"/>
      <c r="D175" s="913"/>
      <c r="E175" s="913"/>
      <c r="F175" s="1557"/>
      <c r="G175" s="1557"/>
      <c r="H175" s="289"/>
      <c r="N175" s="1287"/>
      <c r="P175" s="1287"/>
      <c r="Q175" s="1557"/>
      <c r="R175" s="1557"/>
      <c r="S175" s="1287"/>
      <c r="T175" s="1287"/>
      <c r="U175" s="1287"/>
      <c r="V175" s="1287"/>
      <c r="W175" s="1557"/>
      <c r="X175" s="1287"/>
      <c r="Y175" s="1287"/>
      <c r="Z175" s="482"/>
      <c r="AA175" s="1287"/>
      <c r="AB175" s="1287"/>
      <c r="AC175" s="1287"/>
      <c r="AD175" s="1287"/>
      <c r="AE175" s="1287"/>
      <c r="AF175" s="1553"/>
      <c r="AG175" s="560"/>
      <c r="AH175" s="560"/>
      <c r="AI175" s="560"/>
      <c r="AJ175" s="560"/>
      <c r="AK175" s="1562">
        <v>11</v>
      </c>
    </row>
    <row r="176" spans="1:37" s="4299" customFormat="1" ht="11.45" customHeight="1">
      <c r="A176" s="913"/>
      <c r="B176" s="913"/>
      <c r="C176" s="913"/>
      <c r="D176" s="913"/>
      <c r="E176" s="913"/>
      <c r="F176" s="1557"/>
      <c r="G176" s="1557"/>
      <c r="H176" s="289"/>
      <c r="N176" s="1287"/>
      <c r="P176" s="1287"/>
      <c r="Q176" s="1557"/>
      <c r="R176" s="1557"/>
      <c r="S176" s="1287"/>
      <c r="T176" s="1287"/>
      <c r="U176" s="1287"/>
      <c r="V176" s="1287"/>
      <c r="W176" s="1557"/>
      <c r="X176" s="1287"/>
      <c r="Y176" s="1287"/>
      <c r="Z176" s="482"/>
      <c r="AA176" s="1287"/>
      <c r="AB176" s="1287"/>
      <c r="AC176" s="1287"/>
      <c r="AD176" s="1287"/>
      <c r="AE176" s="1287"/>
      <c r="AF176" s="1553"/>
      <c r="AG176" s="560"/>
      <c r="AH176" s="560"/>
      <c r="AI176" s="560"/>
      <c r="AJ176" s="560"/>
      <c r="AK176" s="1562">
        <v>11</v>
      </c>
    </row>
    <row r="177" spans="1:37" s="4299" customFormat="1" ht="11.45" customHeight="1">
      <c r="A177" s="913"/>
      <c r="B177" s="913"/>
      <c r="C177" s="913"/>
      <c r="D177" s="913"/>
      <c r="E177" s="913"/>
      <c r="F177" s="1557"/>
      <c r="G177" s="1557"/>
      <c r="H177" s="289"/>
      <c r="N177" s="1287"/>
      <c r="P177" s="1287"/>
      <c r="Q177" s="1557"/>
      <c r="R177" s="1557"/>
      <c r="S177" s="1287"/>
      <c r="T177" s="1287"/>
      <c r="U177" s="1287"/>
      <c r="V177" s="1287"/>
      <c r="W177" s="1557"/>
      <c r="X177" s="1287"/>
      <c r="Y177" s="1287"/>
      <c r="Z177" s="482"/>
      <c r="AA177" s="1287"/>
      <c r="AB177" s="1287"/>
      <c r="AC177" s="1287"/>
      <c r="AD177" s="1287"/>
      <c r="AE177" s="1287"/>
      <c r="AF177" s="1553"/>
      <c r="AG177" s="560"/>
      <c r="AH177" s="560"/>
      <c r="AI177" s="560"/>
      <c r="AJ177" s="560"/>
      <c r="AK177" s="1562">
        <v>11</v>
      </c>
    </row>
    <row r="178" spans="1:37" s="4299" customFormat="1" ht="11.45" customHeight="1">
      <c r="A178" s="913"/>
      <c r="B178" s="913"/>
      <c r="C178" s="913"/>
      <c r="D178" s="913"/>
      <c r="E178" s="913"/>
      <c r="F178" s="1557"/>
      <c r="G178" s="1557"/>
      <c r="H178" s="289"/>
      <c r="N178" s="1287"/>
      <c r="P178" s="1287"/>
      <c r="Q178" s="1557"/>
      <c r="R178" s="1557"/>
      <c r="S178" s="1287"/>
      <c r="T178" s="1287"/>
      <c r="U178" s="1287"/>
      <c r="V178" s="1287"/>
      <c r="W178" s="1557"/>
      <c r="X178" s="1287"/>
      <c r="Y178" s="1287"/>
      <c r="Z178" s="482"/>
      <c r="AA178" s="1287"/>
      <c r="AB178" s="1287"/>
      <c r="AC178" s="1287"/>
      <c r="AD178" s="1287"/>
      <c r="AE178" s="1287"/>
      <c r="AF178" s="1553"/>
      <c r="AG178" s="560"/>
      <c r="AH178" s="560"/>
      <c r="AI178" s="560"/>
      <c r="AJ178" s="560"/>
      <c r="AK178" s="1562">
        <v>11</v>
      </c>
    </row>
    <row r="179" spans="1:37" s="4299" customFormat="1" ht="11.45" customHeight="1">
      <c r="A179" s="913"/>
      <c r="B179" s="913"/>
      <c r="C179" s="913"/>
      <c r="D179" s="913"/>
      <c r="E179" s="913"/>
      <c r="F179" s="1557"/>
      <c r="G179" s="1557"/>
      <c r="H179" s="289"/>
      <c r="N179" s="1287"/>
      <c r="P179" s="1287"/>
      <c r="Q179" s="1557"/>
      <c r="R179" s="1557"/>
      <c r="S179" s="1287"/>
      <c r="T179" s="1287"/>
      <c r="U179" s="1287"/>
      <c r="V179" s="1287"/>
      <c r="W179" s="1557"/>
      <c r="X179" s="1287"/>
      <c r="Y179" s="1287"/>
      <c r="Z179" s="482"/>
      <c r="AA179" s="1287"/>
      <c r="AB179" s="1287"/>
      <c r="AC179" s="1287"/>
      <c r="AD179" s="1287"/>
      <c r="AE179" s="1287"/>
      <c r="AF179" s="1553"/>
      <c r="AG179" s="560"/>
      <c r="AH179" s="560"/>
      <c r="AI179" s="560"/>
      <c r="AJ179" s="560"/>
      <c r="AK179" s="1562">
        <v>11</v>
      </c>
    </row>
    <row r="180" spans="1:37" s="4299" customFormat="1" ht="11.45" customHeight="1">
      <c r="A180" s="913"/>
      <c r="B180" s="913"/>
      <c r="C180" s="913"/>
      <c r="D180" s="913"/>
      <c r="E180" s="913"/>
      <c r="F180" s="1557"/>
      <c r="G180" s="1557"/>
      <c r="H180" s="289"/>
      <c r="N180" s="1287"/>
      <c r="P180" s="1287"/>
      <c r="Q180" s="1557"/>
      <c r="R180" s="1557"/>
      <c r="S180" s="1287"/>
      <c r="T180" s="1287"/>
      <c r="U180" s="1287"/>
      <c r="V180" s="1287"/>
      <c r="W180" s="1557"/>
      <c r="X180" s="1287"/>
      <c r="Y180" s="1287"/>
      <c r="Z180" s="482"/>
      <c r="AA180" s="1287"/>
      <c r="AB180" s="1287"/>
      <c r="AC180" s="1287"/>
      <c r="AD180" s="1287"/>
      <c r="AE180" s="1287"/>
      <c r="AF180" s="1553"/>
      <c r="AG180" s="560"/>
      <c r="AH180" s="560"/>
      <c r="AI180" s="560"/>
      <c r="AJ180" s="560"/>
      <c r="AK180" s="1562">
        <v>11</v>
      </c>
    </row>
    <row r="181" spans="1:37" s="4299" customFormat="1" ht="11.45" customHeight="1">
      <c r="A181" s="913"/>
      <c r="B181" s="913"/>
      <c r="C181" s="913"/>
      <c r="D181" s="913"/>
      <c r="E181" s="913"/>
      <c r="F181" s="1557"/>
      <c r="G181" s="1557"/>
      <c r="H181" s="289"/>
      <c r="N181" s="1287"/>
      <c r="P181" s="1287"/>
      <c r="Q181" s="1557"/>
      <c r="R181" s="1557"/>
      <c r="S181" s="1287"/>
      <c r="T181" s="1287"/>
      <c r="U181" s="1287"/>
      <c r="V181" s="1287"/>
      <c r="W181" s="1557"/>
      <c r="X181" s="1287"/>
      <c r="Y181" s="1287"/>
      <c r="Z181" s="482"/>
      <c r="AA181" s="1287"/>
      <c r="AB181" s="1287"/>
      <c r="AC181" s="1287"/>
      <c r="AD181" s="1287"/>
      <c r="AE181" s="1287"/>
      <c r="AF181" s="1553"/>
      <c r="AG181" s="560"/>
      <c r="AH181" s="560"/>
      <c r="AI181" s="560"/>
      <c r="AJ181" s="560"/>
      <c r="AK181" s="1562">
        <v>11</v>
      </c>
    </row>
    <row r="182" spans="1:37" s="4299" customFormat="1" ht="11.45" customHeight="1">
      <c r="A182" s="913"/>
      <c r="B182" s="913"/>
      <c r="C182" s="913"/>
      <c r="D182" s="913"/>
      <c r="E182" s="913"/>
      <c r="F182" s="1557"/>
      <c r="G182" s="1557"/>
      <c r="H182" s="289"/>
      <c r="N182" s="1287"/>
      <c r="P182" s="1287"/>
      <c r="Q182" s="1557"/>
      <c r="R182" s="1557"/>
      <c r="S182" s="1287"/>
      <c r="T182" s="1287"/>
      <c r="U182" s="1287"/>
      <c r="V182" s="1287"/>
      <c r="W182" s="1557"/>
      <c r="X182" s="1287"/>
      <c r="Y182" s="1287"/>
      <c r="Z182" s="482"/>
      <c r="AA182" s="1287"/>
      <c r="AB182" s="1287"/>
      <c r="AC182" s="1287"/>
      <c r="AD182" s="1287"/>
      <c r="AE182" s="1287"/>
      <c r="AF182" s="1553"/>
      <c r="AG182" s="560"/>
      <c r="AH182" s="560"/>
      <c r="AI182" s="560"/>
      <c r="AJ182" s="560"/>
      <c r="AK182" s="1562">
        <v>11</v>
      </c>
    </row>
    <row r="183" spans="1:37" s="4299" customFormat="1" ht="11.45" customHeight="1">
      <c r="A183" s="913"/>
      <c r="B183" s="913"/>
      <c r="C183" s="913"/>
      <c r="D183" s="913"/>
      <c r="E183" s="913"/>
      <c r="F183" s="1557"/>
      <c r="G183" s="1557"/>
      <c r="H183" s="289"/>
      <c r="N183" s="1287"/>
      <c r="P183" s="1287"/>
      <c r="Q183" s="1557"/>
      <c r="R183" s="1557"/>
      <c r="S183" s="1287"/>
      <c r="T183" s="1287"/>
      <c r="U183" s="1287"/>
      <c r="V183" s="1287"/>
      <c r="W183" s="1557"/>
      <c r="X183" s="1287"/>
      <c r="Y183" s="1287"/>
      <c r="Z183" s="482"/>
      <c r="AA183" s="1287"/>
      <c r="AB183" s="1287"/>
      <c r="AC183" s="1287"/>
      <c r="AD183" s="1287"/>
      <c r="AE183" s="1287"/>
      <c r="AF183" s="1553"/>
      <c r="AG183" s="560"/>
      <c r="AH183" s="560"/>
      <c r="AI183" s="560"/>
      <c r="AJ183" s="560"/>
      <c r="AK183" s="1562">
        <v>11</v>
      </c>
    </row>
    <row r="184" spans="1:37" s="4299" customFormat="1" ht="11.45" customHeight="1">
      <c r="A184" s="913"/>
      <c r="B184" s="913"/>
      <c r="C184" s="913"/>
      <c r="D184" s="913"/>
      <c r="E184" s="913"/>
      <c r="F184" s="1557"/>
      <c r="G184" s="1557"/>
      <c r="H184" s="289"/>
      <c r="N184" s="1287"/>
      <c r="P184" s="1287"/>
      <c r="Q184" s="1557"/>
      <c r="R184" s="1557"/>
      <c r="S184" s="1287"/>
      <c r="T184" s="1287"/>
      <c r="U184" s="1287"/>
      <c r="V184" s="1287"/>
      <c r="W184" s="1557"/>
      <c r="X184" s="1287"/>
      <c r="Y184" s="1287"/>
      <c r="Z184" s="482"/>
      <c r="AA184" s="1287"/>
      <c r="AB184" s="1287"/>
      <c r="AC184" s="1287"/>
      <c r="AD184" s="1287"/>
      <c r="AE184" s="1287"/>
      <c r="AF184" s="1553"/>
      <c r="AG184" s="560"/>
      <c r="AH184" s="560"/>
      <c r="AI184" s="560"/>
      <c r="AJ184" s="560"/>
      <c r="AK184" s="1562">
        <v>11</v>
      </c>
    </row>
    <row r="185" spans="1:37" s="4299" customFormat="1" ht="11.45" customHeight="1">
      <c r="A185" s="913"/>
      <c r="B185" s="913"/>
      <c r="C185" s="913"/>
      <c r="D185" s="913"/>
      <c r="E185" s="913"/>
      <c r="F185" s="1557"/>
      <c r="G185" s="1557"/>
      <c r="H185" s="289"/>
      <c r="N185" s="1287"/>
      <c r="P185" s="1287"/>
      <c r="Q185" s="1557"/>
      <c r="R185" s="1557"/>
      <c r="S185" s="1287"/>
      <c r="T185" s="1287"/>
      <c r="U185" s="1287"/>
      <c r="V185" s="1287"/>
      <c r="W185" s="1557"/>
      <c r="X185" s="1287"/>
      <c r="Y185" s="1287"/>
      <c r="Z185" s="482"/>
      <c r="AA185" s="1287"/>
      <c r="AB185" s="1287"/>
      <c r="AC185" s="1287"/>
      <c r="AD185" s="1287"/>
      <c r="AE185" s="1287"/>
      <c r="AF185" s="1553"/>
      <c r="AG185" s="560"/>
      <c r="AH185" s="560"/>
      <c r="AI185" s="560"/>
      <c r="AJ185" s="560"/>
      <c r="AK185" s="1562">
        <v>11</v>
      </c>
    </row>
    <row r="186" spans="1:37" s="4299" customFormat="1" ht="11.45" customHeight="1">
      <c r="A186" s="913"/>
      <c r="B186" s="913"/>
      <c r="C186" s="913"/>
      <c r="D186" s="913"/>
      <c r="E186" s="913"/>
      <c r="F186" s="1557"/>
      <c r="G186" s="1557"/>
      <c r="H186" s="289"/>
      <c r="N186" s="1287"/>
      <c r="P186" s="1287"/>
      <c r="Q186" s="1557"/>
      <c r="R186" s="1557"/>
      <c r="S186" s="1287"/>
      <c r="T186" s="1287"/>
      <c r="U186" s="1287"/>
      <c r="V186" s="1287"/>
      <c r="W186" s="1557"/>
      <c r="X186" s="1287"/>
      <c r="Y186" s="1287"/>
      <c r="Z186" s="482"/>
      <c r="AA186" s="1287"/>
      <c r="AB186" s="1287"/>
      <c r="AC186" s="1287"/>
      <c r="AD186" s="1287"/>
      <c r="AE186" s="1287"/>
      <c r="AF186" s="1553"/>
      <c r="AG186" s="560"/>
      <c r="AH186" s="560"/>
      <c r="AI186" s="560"/>
      <c r="AJ186" s="560"/>
      <c r="AK186" s="1562">
        <v>11</v>
      </c>
    </row>
    <row r="187" spans="1:37" s="4299" customFormat="1" ht="11.45" customHeight="1">
      <c r="A187" s="913"/>
      <c r="B187" s="913"/>
      <c r="C187" s="913"/>
      <c r="D187" s="913"/>
      <c r="E187" s="913"/>
      <c r="F187" s="1557"/>
      <c r="G187" s="1557"/>
      <c r="H187" s="289"/>
      <c r="N187" s="1287"/>
      <c r="P187" s="1287"/>
      <c r="Q187" s="1557"/>
      <c r="R187" s="1557"/>
      <c r="S187" s="1287"/>
      <c r="T187" s="1287"/>
      <c r="U187" s="1287"/>
      <c r="V187" s="1287"/>
      <c r="W187" s="1557"/>
      <c r="X187" s="1287"/>
      <c r="Y187" s="1287"/>
      <c r="Z187" s="482"/>
      <c r="AA187" s="1287"/>
      <c r="AB187" s="1287"/>
      <c r="AC187" s="1287"/>
      <c r="AD187" s="1287"/>
      <c r="AE187" s="1287"/>
      <c r="AF187" s="1553"/>
      <c r="AG187" s="560"/>
      <c r="AH187" s="560"/>
      <c r="AI187" s="560"/>
      <c r="AJ187" s="560"/>
      <c r="AK187" s="1562">
        <v>11</v>
      </c>
    </row>
    <row r="188" spans="1:37" s="4299" customFormat="1" ht="11.45" customHeight="1">
      <c r="A188" s="913"/>
      <c r="B188" s="913"/>
      <c r="C188" s="913"/>
      <c r="D188" s="913"/>
      <c r="E188" s="913"/>
      <c r="F188" s="1557"/>
      <c r="G188" s="1557"/>
      <c r="H188" s="289"/>
      <c r="N188" s="1287"/>
      <c r="P188" s="1287"/>
      <c r="Q188" s="1557"/>
      <c r="R188" s="1557"/>
      <c r="S188" s="1287"/>
      <c r="T188" s="1287"/>
      <c r="U188" s="1287"/>
      <c r="V188" s="1287"/>
      <c r="W188" s="1557"/>
      <c r="X188" s="1287"/>
      <c r="Y188" s="1287"/>
      <c r="Z188" s="482"/>
      <c r="AA188" s="1287"/>
      <c r="AB188" s="1287"/>
      <c r="AC188" s="1287"/>
      <c r="AD188" s="1287"/>
      <c r="AE188" s="1287"/>
      <c r="AF188" s="1553"/>
      <c r="AG188" s="560"/>
      <c r="AH188" s="560"/>
      <c r="AI188" s="560"/>
      <c r="AJ188" s="560"/>
      <c r="AK188" s="1562">
        <v>11</v>
      </c>
    </row>
    <row r="189" spans="1:37" s="4299" customFormat="1" ht="11.45" customHeight="1">
      <c r="A189" s="913"/>
      <c r="B189" s="913"/>
      <c r="C189" s="913"/>
      <c r="D189" s="913"/>
      <c r="E189" s="913"/>
      <c r="F189" s="1557"/>
      <c r="G189" s="1557"/>
      <c r="H189" s="289"/>
      <c r="N189" s="1287"/>
      <c r="P189" s="1287"/>
      <c r="Q189" s="1557"/>
      <c r="R189" s="1557"/>
      <c r="S189" s="1287"/>
      <c r="T189" s="1287"/>
      <c r="U189" s="1287"/>
      <c r="V189" s="1287"/>
      <c r="W189" s="1557"/>
      <c r="X189" s="1287"/>
      <c r="Y189" s="1287"/>
      <c r="Z189" s="482"/>
      <c r="AA189" s="1287"/>
      <c r="AB189" s="1287"/>
      <c r="AC189" s="1287"/>
      <c r="AD189" s="1287"/>
      <c r="AE189" s="1287"/>
      <c r="AF189" s="1553"/>
      <c r="AG189" s="560"/>
      <c r="AH189" s="560"/>
      <c r="AI189" s="560"/>
      <c r="AJ189" s="560"/>
      <c r="AK189" s="1562">
        <v>11</v>
      </c>
    </row>
    <row r="190" spans="1:37" ht="11.45" customHeight="1">
      <c r="AK190" s="1552">
        <v>11</v>
      </c>
    </row>
    <row r="191" spans="1:37" ht="11.45" customHeight="1">
      <c r="AK191" s="1552">
        <v>11</v>
      </c>
    </row>
    <row r="192" spans="1:37" ht="11.45" customHeight="1">
      <c r="AK192" s="1552">
        <v>11</v>
      </c>
    </row>
    <row r="193" spans="1:37" ht="11.45" customHeight="1">
      <c r="A193" s="916"/>
      <c r="B193" s="916"/>
      <c r="C193" s="916"/>
      <c r="D193" s="916"/>
      <c r="E193" s="916"/>
      <c r="F193" s="1552"/>
      <c r="H193" s="1552"/>
      <c r="N193" s="1552"/>
      <c r="P193" s="1552"/>
      <c r="S193" s="1552"/>
      <c r="T193" s="1552"/>
      <c r="U193" s="1552"/>
      <c r="V193" s="1552"/>
      <c r="X193" s="1552"/>
      <c r="Y193" s="1552"/>
      <c r="Z193" s="1552"/>
      <c r="AA193" s="1552"/>
      <c r="AB193" s="1552"/>
      <c r="AC193" s="1552"/>
      <c r="AD193" s="1552"/>
      <c r="AE193" s="1552"/>
      <c r="AF193" s="1552"/>
      <c r="AG193" s="1552"/>
      <c r="AH193" s="1552"/>
      <c r="AI193" s="1552"/>
      <c r="AJ193" s="1552"/>
      <c r="AK193" s="1552">
        <v>11</v>
      </c>
    </row>
    <row r="194" spans="1:37" ht="11.45" customHeight="1">
      <c r="A194" s="916"/>
      <c r="B194" s="916"/>
      <c r="C194" s="916"/>
      <c r="D194" s="916"/>
      <c r="E194" s="916"/>
      <c r="F194" s="1552"/>
      <c r="H194" s="1552"/>
      <c r="N194" s="1552"/>
      <c r="P194" s="1552"/>
      <c r="S194" s="1552"/>
      <c r="T194" s="1552"/>
      <c r="U194" s="1552"/>
      <c r="V194" s="1552"/>
      <c r="X194" s="1552"/>
      <c r="Y194" s="1552"/>
      <c r="Z194" s="1552"/>
      <c r="AA194" s="1552"/>
      <c r="AB194" s="1552"/>
      <c r="AC194" s="1552"/>
      <c r="AD194" s="1552"/>
      <c r="AE194" s="1552"/>
      <c r="AF194" s="1552"/>
      <c r="AG194" s="1552"/>
      <c r="AH194" s="1552"/>
      <c r="AI194" s="1552"/>
      <c r="AJ194" s="1552"/>
      <c r="AK194" s="1552">
        <v>11</v>
      </c>
    </row>
    <row r="195" spans="1:37" ht="11.45" customHeight="1">
      <c r="A195" s="916"/>
      <c r="B195" s="916"/>
      <c r="C195" s="916"/>
      <c r="D195" s="916"/>
      <c r="E195" s="916"/>
      <c r="F195" s="1552"/>
      <c r="H195" s="1552"/>
      <c r="N195" s="1552"/>
      <c r="P195" s="1552"/>
      <c r="S195" s="1552"/>
      <c r="T195" s="1552"/>
      <c r="U195" s="1552"/>
      <c r="V195" s="1552"/>
      <c r="X195" s="1552"/>
      <c r="Y195" s="1552"/>
      <c r="Z195" s="1552"/>
      <c r="AA195" s="1552"/>
      <c r="AB195" s="1552"/>
      <c r="AC195" s="1552"/>
      <c r="AD195" s="1552"/>
      <c r="AE195" s="1552"/>
      <c r="AF195" s="1552"/>
      <c r="AG195" s="1552"/>
      <c r="AH195" s="1552"/>
      <c r="AI195" s="1552"/>
      <c r="AJ195" s="1552"/>
      <c r="AK195" s="1552">
        <v>11</v>
      </c>
    </row>
    <row r="196" spans="1:37" ht="11.45" customHeight="1">
      <c r="A196" s="916"/>
      <c r="B196" s="916"/>
      <c r="C196" s="916"/>
      <c r="D196" s="916"/>
      <c r="E196" s="916"/>
      <c r="F196" s="1552"/>
      <c r="H196" s="1552"/>
      <c r="N196" s="1552"/>
      <c r="P196" s="1552"/>
      <c r="S196" s="1552"/>
      <c r="T196" s="1552"/>
      <c r="U196" s="1552"/>
      <c r="V196" s="1552"/>
      <c r="X196" s="1552"/>
      <c r="Y196" s="1552"/>
      <c r="Z196" s="1552"/>
      <c r="AA196" s="1552"/>
      <c r="AB196" s="1552"/>
      <c r="AC196" s="1552"/>
      <c r="AD196" s="1552"/>
      <c r="AE196" s="1552"/>
      <c r="AF196" s="1552"/>
      <c r="AG196" s="1552"/>
      <c r="AH196" s="1552"/>
      <c r="AI196" s="1552"/>
      <c r="AJ196" s="1552"/>
      <c r="AK196" s="1552">
        <v>11</v>
      </c>
    </row>
    <row r="197" spans="1:37" ht="11.45" customHeight="1">
      <c r="A197" s="916"/>
      <c r="B197" s="916"/>
      <c r="C197" s="916"/>
      <c r="D197" s="916"/>
      <c r="E197" s="916"/>
      <c r="F197" s="1552"/>
      <c r="H197" s="1552"/>
      <c r="N197" s="1552"/>
      <c r="P197" s="1552"/>
      <c r="S197" s="1552"/>
      <c r="T197" s="1552"/>
      <c r="U197" s="1552"/>
      <c r="V197" s="1552"/>
      <c r="X197" s="1552"/>
      <c r="Y197" s="1552"/>
      <c r="Z197" s="1552"/>
      <c r="AA197" s="1552"/>
      <c r="AB197" s="1552"/>
      <c r="AC197" s="1552"/>
      <c r="AD197" s="1552"/>
      <c r="AE197" s="1552"/>
      <c r="AF197" s="1552"/>
      <c r="AG197" s="1552"/>
      <c r="AH197" s="1552"/>
      <c r="AI197" s="1552"/>
      <c r="AJ197" s="1552"/>
      <c r="AK197" s="1552">
        <v>11</v>
      </c>
    </row>
    <row r="198" spans="1:37" ht="11.45" customHeight="1">
      <c r="A198" s="916"/>
      <c r="B198" s="916"/>
      <c r="C198" s="916"/>
      <c r="D198" s="916"/>
      <c r="E198" s="916"/>
      <c r="F198" s="1552"/>
      <c r="H198" s="1552"/>
      <c r="N198" s="1552"/>
      <c r="P198" s="1552"/>
      <c r="S198" s="1552"/>
      <c r="T198" s="1552"/>
      <c r="U198" s="1552"/>
      <c r="V198" s="1552"/>
      <c r="X198" s="1552"/>
      <c r="Y198" s="1552"/>
      <c r="Z198" s="1552"/>
      <c r="AA198" s="1552"/>
      <c r="AB198" s="1552"/>
      <c r="AC198" s="1552"/>
      <c r="AD198" s="1552"/>
      <c r="AE198" s="1552"/>
      <c r="AF198" s="1552"/>
      <c r="AG198" s="1552"/>
      <c r="AH198" s="1552"/>
      <c r="AI198" s="1552"/>
      <c r="AJ198" s="1552"/>
      <c r="AK198" s="1552">
        <v>11</v>
      </c>
    </row>
    <row r="199" spans="1:37" ht="11.45" customHeight="1">
      <c r="A199" s="916"/>
      <c r="B199" s="916"/>
      <c r="C199" s="916"/>
      <c r="D199" s="916"/>
      <c r="E199" s="916"/>
      <c r="F199" s="1552"/>
      <c r="H199" s="1552"/>
      <c r="N199" s="1552"/>
      <c r="P199" s="1552"/>
      <c r="S199" s="1552"/>
      <c r="T199" s="1552"/>
      <c r="U199" s="1552"/>
      <c r="V199" s="1552"/>
      <c r="X199" s="1552"/>
      <c r="Y199" s="1552"/>
      <c r="Z199" s="1552"/>
      <c r="AA199" s="1552"/>
      <c r="AB199" s="1552"/>
      <c r="AC199" s="1552"/>
      <c r="AD199" s="1552"/>
      <c r="AE199" s="1552"/>
      <c r="AF199" s="1552"/>
      <c r="AG199" s="1552"/>
      <c r="AH199" s="1552"/>
      <c r="AI199" s="1552"/>
      <c r="AJ199" s="1552"/>
      <c r="AK199" s="1552">
        <v>11</v>
      </c>
    </row>
    <row r="200" spans="1:37" ht="11.45" customHeight="1">
      <c r="A200" s="916"/>
      <c r="B200" s="916"/>
      <c r="C200" s="916"/>
      <c r="D200" s="916"/>
      <c r="E200" s="916"/>
      <c r="F200" s="1552"/>
      <c r="H200" s="1552"/>
      <c r="N200" s="1552"/>
      <c r="P200" s="1552"/>
      <c r="S200" s="1552"/>
      <c r="T200" s="1552"/>
      <c r="U200" s="1552"/>
      <c r="V200" s="1552"/>
      <c r="X200" s="1552"/>
      <c r="Y200" s="1552"/>
      <c r="Z200" s="1552"/>
      <c r="AA200" s="1552"/>
      <c r="AB200" s="1552"/>
      <c r="AC200" s="1552"/>
      <c r="AD200" s="1552"/>
      <c r="AE200" s="1552"/>
      <c r="AF200" s="1552"/>
      <c r="AG200" s="1552"/>
      <c r="AH200" s="1552"/>
      <c r="AI200" s="1552"/>
      <c r="AJ200" s="1552"/>
      <c r="AK200" s="1552">
        <v>11</v>
      </c>
    </row>
    <row r="201" spans="1:37" ht="11.45" customHeight="1">
      <c r="A201" s="916"/>
      <c r="B201" s="916"/>
      <c r="C201" s="916"/>
      <c r="D201" s="916"/>
      <c r="E201" s="916"/>
      <c r="F201" s="1552"/>
      <c r="H201" s="1552"/>
      <c r="N201" s="1552"/>
      <c r="P201" s="1552"/>
      <c r="S201" s="1552"/>
      <c r="T201" s="1552"/>
      <c r="U201" s="1552"/>
      <c r="V201" s="1552"/>
      <c r="X201" s="1552"/>
      <c r="Y201" s="1552"/>
      <c r="Z201" s="1552"/>
      <c r="AA201" s="1552"/>
      <c r="AB201" s="1552"/>
      <c r="AC201" s="1552"/>
      <c r="AD201" s="1552"/>
      <c r="AE201" s="1552"/>
      <c r="AF201" s="1552"/>
      <c r="AG201" s="1552"/>
      <c r="AH201" s="1552"/>
      <c r="AI201" s="1552"/>
      <c r="AJ201" s="1552"/>
      <c r="AK201" s="1552">
        <v>11</v>
      </c>
    </row>
    <row r="202" spans="1:37" ht="11.45" customHeight="1">
      <c r="A202" s="916"/>
      <c r="B202" s="916"/>
      <c r="C202" s="916"/>
      <c r="D202" s="916"/>
      <c r="E202" s="916"/>
      <c r="F202" s="1552"/>
      <c r="H202" s="1552"/>
      <c r="N202" s="1552"/>
      <c r="P202" s="1552"/>
      <c r="S202" s="1552"/>
      <c r="T202" s="1552"/>
      <c r="U202" s="1552"/>
      <c r="V202" s="1552"/>
      <c r="X202" s="1552"/>
      <c r="Y202" s="1552"/>
      <c r="Z202" s="1552"/>
      <c r="AA202" s="1552"/>
      <c r="AB202" s="1552"/>
      <c r="AC202" s="1552"/>
      <c r="AD202" s="1552"/>
      <c r="AE202" s="1552"/>
      <c r="AF202" s="1552"/>
      <c r="AG202" s="1552"/>
      <c r="AH202" s="1552"/>
      <c r="AI202" s="1552"/>
      <c r="AJ202" s="1552"/>
      <c r="AK202" s="1552">
        <v>11</v>
      </c>
    </row>
    <row r="203" spans="1:37" ht="11.45" customHeight="1">
      <c r="A203" s="916"/>
      <c r="B203" s="916"/>
      <c r="C203" s="916"/>
      <c r="D203" s="916"/>
      <c r="E203" s="916"/>
      <c r="F203" s="1552"/>
      <c r="H203" s="1552"/>
      <c r="N203" s="1552"/>
      <c r="P203" s="1552"/>
      <c r="S203" s="1552"/>
      <c r="T203" s="1552"/>
      <c r="U203" s="1552"/>
      <c r="V203" s="1552"/>
      <c r="X203" s="1552"/>
      <c r="Y203" s="1552"/>
      <c r="Z203" s="1552"/>
      <c r="AA203" s="1552"/>
      <c r="AB203" s="1552"/>
      <c r="AC203" s="1552"/>
      <c r="AD203" s="1552"/>
      <c r="AE203" s="1552"/>
      <c r="AF203" s="1552"/>
      <c r="AG203" s="1552"/>
      <c r="AH203" s="1552"/>
      <c r="AI203" s="1552"/>
      <c r="AJ203" s="1552"/>
      <c r="AK203" s="1552">
        <v>11</v>
      </c>
    </row>
    <row r="204" spans="1:37" ht="12.75" hidden="1" customHeight="1">
      <c r="A204" s="913" t="s">
        <v>82</v>
      </c>
      <c r="B204" s="913" t="s">
        <v>180</v>
      </c>
      <c r="C204" s="913" t="s">
        <v>180</v>
      </c>
      <c r="D204" s="913" t="s">
        <v>180</v>
      </c>
      <c r="E204" s="913" t="s">
        <v>180</v>
      </c>
      <c r="F204" s="1556">
        <v>16</v>
      </c>
      <c r="G204" s="1557">
        <v>0</v>
      </c>
      <c r="H204" s="1556">
        <v>3</v>
      </c>
      <c r="I204" s="1552">
        <v>7</v>
      </c>
      <c r="J204" s="1552">
        <v>56</v>
      </c>
      <c r="K204" s="1552">
        <v>10</v>
      </c>
      <c r="L204" s="1552">
        <v>40</v>
      </c>
      <c r="M204" s="1552">
        <v>40</v>
      </c>
      <c r="N204" s="1287">
        <v>9</v>
      </c>
      <c r="O204" s="1552">
        <v>102</v>
      </c>
      <c r="P204" s="1287">
        <v>9</v>
      </c>
      <c r="Q204" s="1557">
        <v>5</v>
      </c>
      <c r="R204" s="1557">
        <v>3</v>
      </c>
      <c r="S204" s="1287">
        <v>3</v>
      </c>
      <c r="T204" s="1287">
        <v>3</v>
      </c>
      <c r="U204" s="1287">
        <v>3</v>
      </c>
      <c r="V204" s="1287">
        <v>3</v>
      </c>
      <c r="W204" s="1557">
        <v>10</v>
      </c>
      <c r="X204" s="1287">
        <v>34</v>
      </c>
      <c r="Y204" s="1287">
        <v>9</v>
      </c>
      <c r="Z204" s="482">
        <v>8</v>
      </c>
      <c r="AA204" s="1287">
        <v>8</v>
      </c>
      <c r="AB204" s="1287">
        <v>8</v>
      </c>
      <c r="AC204" s="1287">
        <v>8</v>
      </c>
      <c r="AD204" s="1287">
        <v>8</v>
      </c>
      <c r="AE204" s="1287">
        <v>8</v>
      </c>
      <c r="AF204" s="1553">
        <v>8</v>
      </c>
      <c r="AG204" s="1553">
        <v>8</v>
      </c>
      <c r="AH204" s="1553">
        <v>8</v>
      </c>
      <c r="AI204" s="1553">
        <v>8</v>
      </c>
      <c r="AJ204" s="1553">
        <v>8</v>
      </c>
      <c r="AK204" s="1552">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4267" hidden="1"/>
    <col min="5" max="5" width="9.140625" style="4302" hidden="1" customWidth="1"/>
    <col min="6" max="7" width="9.140625" style="4274" hidden="1" customWidth="1"/>
    <col min="8" max="8" width="3" style="4303" customWidth="1"/>
    <col min="9" max="9" width="6" style="4267" customWidth="1"/>
    <col min="10" max="10" width="63" style="4267" customWidth="1"/>
    <col min="11" max="11" width="9" style="4267" customWidth="1"/>
    <col min="12" max="12" width="39" style="4267" customWidth="1"/>
    <col min="13" max="13" width="89" style="4267" customWidth="1"/>
    <col min="14" max="14" width="10" style="4267" customWidth="1"/>
    <col min="15" max="16" width="10" style="4281" customWidth="1"/>
    <col min="17" max="22" width="10" style="4267" customWidth="1"/>
    <col min="23" max="23" width="10.5703125" style="4267" hidden="1"/>
  </cols>
  <sheetData>
    <row r="1" spans="1:23" ht="22.5" hidden="1" customHeight="1">
      <c r="S1" s="193"/>
      <c r="T1" s="193"/>
      <c r="V1" s="193"/>
      <c r="W1" s="1552" t="s">
        <v>14</v>
      </c>
    </row>
    <row r="2" spans="1:23" ht="22.5" hidden="1" customHeight="1">
      <c r="B2" s="1968" t="s">
        <v>779</v>
      </c>
      <c r="C2" s="1968" t="s">
        <v>780</v>
      </c>
      <c r="D2" s="1967" t="s">
        <v>719</v>
      </c>
      <c r="E2" s="1973">
        <f>I2-3</f>
        <v>-3</v>
      </c>
      <c r="F2" s="1973">
        <f>J2</f>
        <v>0</v>
      </c>
      <c r="H2" s="1650" t="s">
        <v>104</v>
      </c>
      <c r="I2" s="1939"/>
      <c r="J2" s="1603"/>
      <c r="K2" s="1933" t="s">
        <v>399</v>
      </c>
      <c r="L2" s="1085"/>
      <c r="M2" s="235"/>
      <c r="N2" s="1545"/>
      <c r="P2" s="1552"/>
      <c r="W2" s="1552">
        <v>0</v>
      </c>
    </row>
    <row r="3" spans="1:23" ht="14.25" hidden="1" customHeight="1">
      <c r="W3" s="1552">
        <v>0</v>
      </c>
    </row>
    <row r="4" spans="1:23" ht="6.4" customHeight="1">
      <c r="H4" s="314"/>
      <c r="I4" s="395"/>
      <c r="J4" s="395"/>
      <c r="K4" s="395"/>
      <c r="L4" s="26"/>
      <c r="M4" s="26"/>
      <c r="W4" s="1552">
        <v>6</v>
      </c>
    </row>
    <row r="5" spans="1:23" ht="50.25" customHeight="1">
      <c r="H5" s="314"/>
      <c r="I5" s="5450" t="s">
        <v>781</v>
      </c>
      <c r="J5" s="5450"/>
      <c r="K5" s="5450"/>
      <c r="L5" s="5450"/>
      <c r="M5" s="204"/>
      <c r="W5" s="1552">
        <v>48</v>
      </c>
    </row>
    <row r="6" spans="1:23" ht="18" customHeight="1">
      <c r="H6" s="314"/>
      <c r="I6" s="5423" t="str">
        <f>IF(org=0,"Не определено",org)</f>
        <v>КГУП "Примтеплоэнерго"</v>
      </c>
      <c r="J6" s="5423"/>
      <c r="K6" s="5423"/>
      <c r="L6" s="5423"/>
      <c r="M6" s="204"/>
      <c r="W6" s="1552">
        <v>17</v>
      </c>
    </row>
    <row r="7" spans="1:23" ht="14.65" customHeight="1">
      <c r="H7" s="314"/>
      <c r="I7" s="395"/>
      <c r="J7" s="401"/>
      <c r="K7" s="401"/>
      <c r="L7" s="690"/>
      <c r="M7" s="131"/>
      <c r="W7" s="1552">
        <v>14</v>
      </c>
    </row>
    <row r="8" spans="1:23" ht="14.65" customHeight="1">
      <c r="H8" s="314"/>
      <c r="I8" s="5573" t="s">
        <v>393</v>
      </c>
      <c r="J8" s="5574"/>
      <c r="K8" s="5574"/>
      <c r="L8" s="5575"/>
      <c r="M8" s="5576" t="s">
        <v>394</v>
      </c>
      <c r="W8" s="1552">
        <v>14</v>
      </c>
    </row>
    <row r="9" spans="1:23" ht="35.65" customHeight="1">
      <c r="E9" s="1966" t="s">
        <v>710</v>
      </c>
      <c r="F9" s="1966" t="s">
        <v>716</v>
      </c>
      <c r="H9" s="314"/>
      <c r="I9" s="1940" t="s">
        <v>88</v>
      </c>
      <c r="J9" s="1941" t="s">
        <v>395</v>
      </c>
      <c r="K9" s="1979" t="s">
        <v>658</v>
      </c>
      <c r="L9" s="1980" t="s">
        <v>396</v>
      </c>
      <c r="M9" s="5576"/>
      <c r="W9" s="1552">
        <v>34</v>
      </c>
    </row>
    <row r="10" spans="1:23" ht="35.65" customHeight="1">
      <c r="B10" s="1968" t="s">
        <v>782</v>
      </c>
      <c r="C10" s="1968" t="s">
        <v>783</v>
      </c>
      <c r="D10" s="1967" t="s">
        <v>719</v>
      </c>
      <c r="E10" s="1971" t="s">
        <v>720</v>
      </c>
      <c r="F10" s="1971" t="s">
        <v>720</v>
      </c>
      <c r="H10" s="314"/>
      <c r="I10" s="1939" t="s">
        <v>136</v>
      </c>
      <c r="J10" s="1804" t="s">
        <v>784</v>
      </c>
      <c r="K10" s="1933" t="s">
        <v>399</v>
      </c>
      <c r="L10" s="750"/>
      <c r="M10" s="235" t="s">
        <v>785</v>
      </c>
      <c r="W10" s="1552">
        <v>34</v>
      </c>
    </row>
    <row r="11" spans="1:23" ht="50.25" customHeight="1">
      <c r="B11" s="1968" t="s">
        <v>786</v>
      </c>
      <c r="C11" s="1968" t="s">
        <v>787</v>
      </c>
      <c r="D11" s="1967" t="s">
        <v>719</v>
      </c>
      <c r="E11" s="1971" t="s">
        <v>720</v>
      </c>
      <c r="F11" s="1971" t="s">
        <v>720</v>
      </c>
      <c r="H11" s="314"/>
      <c r="I11" s="1939" t="s">
        <v>103</v>
      </c>
      <c r="J11" s="1804" t="s">
        <v>788</v>
      </c>
      <c r="K11" s="1933" t="s">
        <v>399</v>
      </c>
      <c r="L11" s="750"/>
      <c r="M11" s="235" t="s">
        <v>785</v>
      </c>
      <c r="W11" s="1552">
        <v>48</v>
      </c>
    </row>
    <row r="12" spans="1:23" ht="48.2" customHeight="1">
      <c r="B12" s="1968" t="s">
        <v>789</v>
      </c>
      <c r="C12" s="1968" t="s">
        <v>790</v>
      </c>
      <c r="D12" s="1967" t="s">
        <v>719</v>
      </c>
      <c r="E12" s="1971" t="s">
        <v>720</v>
      </c>
      <c r="F12" s="1971" t="s">
        <v>720</v>
      </c>
      <c r="H12" s="1609"/>
      <c r="I12" s="1939" t="s">
        <v>90</v>
      </c>
      <c r="J12" s="1946" t="s">
        <v>791</v>
      </c>
      <c r="K12" s="1933" t="s">
        <v>399</v>
      </c>
      <c r="L12" s="750"/>
      <c r="M12" s="235" t="s">
        <v>792</v>
      </c>
      <c r="N12" s="1545"/>
      <c r="P12" s="1552"/>
      <c r="W12" s="1552">
        <v>46</v>
      </c>
    </row>
    <row r="13" spans="1:23" ht="14.65" customHeight="1">
      <c r="E13" s="281"/>
      <c r="H13" s="314"/>
      <c r="I13" s="285"/>
      <c r="J13" s="589" t="s">
        <v>793</v>
      </c>
      <c r="K13" s="509"/>
      <c r="L13" s="152"/>
      <c r="M13" s="235"/>
      <c r="W13" s="1552">
        <v>14</v>
      </c>
    </row>
    <row r="14" spans="1:23" ht="14.65" customHeight="1">
      <c r="E14" s="281"/>
      <c r="H14" s="314"/>
      <c r="I14" s="982"/>
      <c r="J14" s="1598"/>
      <c r="K14" s="1599"/>
      <c r="L14" s="1600"/>
      <c r="M14" s="1943"/>
      <c r="W14" s="1552">
        <v>14</v>
      </c>
    </row>
    <row r="15" spans="1:23" ht="14.65" customHeight="1">
      <c r="I15" s="1602"/>
      <c r="J15" s="5468"/>
      <c r="K15" s="5468"/>
      <c r="L15" s="5468"/>
      <c r="M15" s="5468"/>
      <c r="W15" s="1552">
        <v>14</v>
      </c>
    </row>
    <row r="16" spans="1:23" ht="21" hidden="1" customHeight="1">
      <c r="A16" s="1945" t="s">
        <v>82</v>
      </c>
      <c r="B16" s="1552">
        <v>9</v>
      </c>
      <c r="C16" s="1552">
        <v>9</v>
      </c>
      <c r="D16" s="1552">
        <v>9</v>
      </c>
      <c r="E16" s="1945" t="s">
        <v>134</v>
      </c>
      <c r="F16" s="1970" t="s">
        <v>134</v>
      </c>
      <c r="G16" s="1972"/>
      <c r="H16" s="282">
        <v>3</v>
      </c>
      <c r="I16" s="1552">
        <v>6</v>
      </c>
      <c r="J16" s="1552">
        <v>63</v>
      </c>
      <c r="K16" s="1552">
        <v>9</v>
      </c>
      <c r="L16" s="1552">
        <v>39</v>
      </c>
      <c r="M16" s="1552">
        <v>89</v>
      </c>
      <c r="N16" s="1552">
        <v>10</v>
      </c>
      <c r="O16" s="1545">
        <v>10</v>
      </c>
      <c r="P16" s="1545">
        <v>10</v>
      </c>
      <c r="Q16" s="1552">
        <v>10</v>
      </c>
      <c r="R16" s="1552">
        <v>10</v>
      </c>
      <c r="S16" s="1552">
        <v>10</v>
      </c>
      <c r="T16" s="1552">
        <v>10</v>
      </c>
      <c r="U16" s="1552">
        <v>10</v>
      </c>
      <c r="V16" s="1552">
        <v>10</v>
      </c>
      <c r="W16" s="1552">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5256" hidden="1" customWidth="1"/>
    <col min="2" max="2" width="16.85546875" style="4274" hidden="1" customWidth="1"/>
    <col min="3" max="3" width="5.5703125" style="4275" hidden="1" customWidth="1"/>
    <col min="4" max="4" width="3" style="4267" customWidth="1"/>
    <col min="5" max="5" width="7" style="4267" customWidth="1"/>
    <col min="6" max="6" width="56" style="4267" customWidth="1"/>
    <col min="7" max="7" width="10" style="4267" customWidth="1"/>
    <col min="8" max="8" width="40.7109375" style="4267" hidden="1" customWidth="1"/>
    <col min="9" max="9" width="40" style="4267" customWidth="1"/>
    <col min="10" max="10" width="102" style="4267" customWidth="1"/>
    <col min="11" max="11" width="9" style="4274" customWidth="1"/>
    <col min="12" max="12" width="5" style="4275" customWidth="1"/>
    <col min="13" max="13" width="3" style="4275" customWidth="1"/>
    <col min="14" max="17" width="3" style="4274" customWidth="1"/>
    <col min="18" max="18" width="10" style="4275" customWidth="1"/>
    <col min="19" max="19" width="34" style="4274" customWidth="1"/>
    <col min="20" max="20" width="9" style="4274" customWidth="1"/>
    <col min="21" max="21" width="8" style="5257" customWidth="1"/>
    <col min="22" max="26" width="8" style="4274" customWidth="1"/>
    <col min="27" max="31" width="8" style="4265" customWidth="1"/>
    <col min="32" max="32" width="10.42578125" style="4267" hidden="1" customWidth="1"/>
  </cols>
  <sheetData>
    <row r="1" spans="1:32" s="4274" customFormat="1" ht="22.5" hidden="1" customHeight="1">
      <c r="A1" s="913"/>
      <c r="C1" s="1557"/>
      <c r="D1" s="475"/>
      <c r="H1" s="1081">
        <v>4</v>
      </c>
      <c r="I1" s="1081">
        <v>4</v>
      </c>
      <c r="L1" s="1557"/>
      <c r="M1" s="1557"/>
      <c r="R1" s="1557"/>
      <c r="AF1" s="1081" t="s">
        <v>14</v>
      </c>
    </row>
    <row r="2" spans="1:32" s="4274" customFormat="1" ht="22.5" hidden="1" customHeight="1">
      <c r="A2" s="913"/>
      <c r="C2" s="1557"/>
      <c r="D2" s="476"/>
      <c r="E2" s="1558"/>
      <c r="F2" s="478"/>
      <c r="G2" s="1560" t="s">
        <v>644</v>
      </c>
      <c r="H2" s="479"/>
      <c r="I2" s="479"/>
      <c r="J2" s="480" t="s">
        <v>794</v>
      </c>
      <c r="K2" s="481"/>
      <c r="L2" s="1557"/>
      <c r="M2" s="1557"/>
      <c r="R2" s="1557"/>
      <c r="U2" s="482"/>
      <c r="AA2" s="1553"/>
      <c r="AB2" s="1553"/>
      <c r="AC2" s="1553"/>
      <c r="AD2" s="1553"/>
      <c r="AE2" s="1553"/>
      <c r="AF2" s="1081">
        <v>0</v>
      </c>
    </row>
    <row r="3" spans="1:32" ht="11.25" hidden="1" customHeight="1">
      <c r="AF3" s="1552">
        <v>0</v>
      </c>
    </row>
    <row r="4" spans="1:32" s="4265" customFormat="1" ht="11.25" hidden="1" customHeight="1">
      <c r="A4" s="913"/>
      <c r="B4" s="1081"/>
      <c r="C4" s="1557"/>
      <c r="D4" s="300"/>
      <c r="J4" s="1553">
        <v>4</v>
      </c>
      <c r="K4" s="1081"/>
      <c r="L4" s="1557"/>
      <c r="M4" s="1557"/>
      <c r="N4" s="1081"/>
      <c r="O4" s="1081"/>
      <c r="P4" s="1081"/>
      <c r="Q4" s="1081"/>
      <c r="R4" s="1557"/>
      <c r="S4" s="1081"/>
      <c r="T4" s="1081"/>
      <c r="U4" s="482"/>
      <c r="V4" s="1081"/>
      <c r="W4" s="1081"/>
      <c r="X4" s="1081"/>
      <c r="Y4" s="1081"/>
      <c r="Z4" s="1081"/>
      <c r="AF4" s="1553">
        <v>0</v>
      </c>
    </row>
    <row r="5" spans="1:32" ht="11.45" customHeight="1">
      <c r="AF5" s="1552">
        <v>11</v>
      </c>
    </row>
    <row r="6" spans="1:32" ht="31.5" customHeight="1">
      <c r="E6" s="5402" t="s">
        <v>795</v>
      </c>
      <c r="F6" s="5402"/>
      <c r="G6" s="5402"/>
      <c r="H6" s="5402"/>
      <c r="I6" s="5402"/>
      <c r="J6" s="494"/>
      <c r="AF6" s="1552">
        <v>30</v>
      </c>
    </row>
    <row r="7" spans="1:32" ht="11.45" customHeight="1">
      <c r="E7" s="5423" t="str">
        <f>IF(org=0,"Не определено",org)</f>
        <v>КГУП "Примтеплоэнерго"</v>
      </c>
      <c r="F7" s="5423"/>
      <c r="G7" s="5423"/>
      <c r="H7" s="5423"/>
      <c r="I7" s="5423"/>
      <c r="AF7" s="1552">
        <v>11</v>
      </c>
    </row>
    <row r="8" spans="1:32" ht="11.45" customHeight="1">
      <c r="E8" s="1056"/>
      <c r="F8" s="1056"/>
      <c r="G8" s="1056"/>
      <c r="H8" s="1056"/>
      <c r="I8" s="1056"/>
      <c r="AF8" s="1552">
        <v>11</v>
      </c>
    </row>
    <row r="9" spans="1:32" s="4275" customFormat="1" ht="4.1500000000000004" customHeight="1">
      <c r="A9" s="1088"/>
      <c r="D9" s="1563"/>
      <c r="H9" s="816"/>
      <c r="I9" s="816" t="s">
        <v>149</v>
      </c>
      <c r="AF9" s="1557">
        <v>4</v>
      </c>
    </row>
    <row r="10" spans="1:32" ht="11.45" customHeight="1">
      <c r="E10" s="649"/>
      <c r="F10" s="5559" t="s">
        <v>141</v>
      </c>
      <c r="G10" s="5560"/>
      <c r="H10" s="1473" t="str">
        <f>IF(H9="","",INDEX(DIFFERENTIATION_UNMERGE_VD,MATCH(H9,DIFFERENTIATION_ID_DIFF,0)))</f>
        <v/>
      </c>
      <c r="I10" s="1473">
        <f>IF(I9="","",INDEX(DIFFERENTIATION_UNMERGE_VD,MATCH(I9,DIFFERENTIATION_ID_DIFF,0)))</f>
        <v>0</v>
      </c>
      <c r="J10" s="5328"/>
      <c r="AF10" s="1552">
        <v>11</v>
      </c>
    </row>
    <row r="11" spans="1:32" ht="11.45" customHeight="1">
      <c r="E11" s="649"/>
      <c r="F11" s="5559" t="s">
        <v>656</v>
      </c>
      <c r="G11" s="5560"/>
      <c r="H11" s="1473" t="str">
        <f>IF(H9="","",INDEX(DIFFERENTIATION_UNMERGE_AREA,MATCH(H9,DIFFERENTIATION_ID_DIFF,0)))</f>
        <v/>
      </c>
      <c r="I11" s="1473" t="str">
        <f>IF(I9="","",INDEX(DIFFERENTIATION_UNMERGE_AREA,MATCH(I9,DIFFERENTIATION_ID_DIFF,0)))</f>
        <v/>
      </c>
      <c r="J11" s="5328"/>
      <c r="AF11" s="1552">
        <v>11</v>
      </c>
    </row>
    <row r="12" spans="1:32" ht="1.1499999999999999" customHeight="1">
      <c r="E12" s="1583"/>
      <c r="F12" s="5577" t="s">
        <v>657</v>
      </c>
      <c r="G12" s="5578"/>
      <c r="H12" s="1584" t="str">
        <f>IF(H9="","",INDEX(DIFFERENTIATION_UNMERGE_SYSTEM,MATCH(H9,DIFFERENTIATION_ID_DIFF,0)))</f>
        <v/>
      </c>
      <c r="I12" s="1584" t="str">
        <f>IF(I9="","",INDEX(DIFFERENTIATION_UNMERGE_SYSTEM,MATCH(I9,DIFFERENTIATION_ID_DIFF,0)))</f>
        <v>без дифференциации</v>
      </c>
      <c r="J12" s="5328"/>
      <c r="AF12" s="1552">
        <v>1</v>
      </c>
    </row>
    <row r="13" spans="1:32" ht="11.45" customHeight="1">
      <c r="E13" s="5561" t="s">
        <v>393</v>
      </c>
      <c r="F13" s="5562"/>
      <c r="G13" s="5562"/>
      <c r="H13" s="1472"/>
      <c r="I13" s="1472"/>
      <c r="J13" s="5328"/>
      <c r="AF13" s="1552">
        <v>11</v>
      </c>
    </row>
    <row r="14" spans="1:32" ht="24" customHeight="1">
      <c r="E14" s="1560" t="s">
        <v>88</v>
      </c>
      <c r="F14" s="1555" t="s">
        <v>395</v>
      </c>
      <c r="G14" s="1555" t="s">
        <v>658</v>
      </c>
      <c r="H14" s="1555" t="s">
        <v>396</v>
      </c>
      <c r="I14" s="1555" t="s">
        <v>396</v>
      </c>
      <c r="J14" s="5328"/>
      <c r="AF14" s="1552">
        <v>23</v>
      </c>
    </row>
    <row r="15" spans="1:32" ht="19.899999999999999" customHeight="1">
      <c r="D15" s="1559"/>
      <c r="E15" s="1551" t="s">
        <v>136</v>
      </c>
      <c r="F15" s="645" t="s">
        <v>796</v>
      </c>
      <c r="G15" s="1567" t="s">
        <v>644</v>
      </c>
      <c r="H15" s="495"/>
      <c r="I15" s="495"/>
      <c r="J15" s="227" t="s">
        <v>797</v>
      </c>
      <c r="K15" s="481" t="s">
        <v>722</v>
      </c>
      <c r="AF15" s="1552">
        <v>19</v>
      </c>
    </row>
    <row r="16" spans="1:32" ht="35.65" customHeight="1">
      <c r="D16" s="1559"/>
      <c r="E16" s="1551" t="s">
        <v>103</v>
      </c>
      <c r="F16" s="645" t="s">
        <v>798</v>
      </c>
      <c r="G16" s="1567" t="s">
        <v>644</v>
      </c>
      <c r="H16" s="496">
        <f>SUM(H17,H20:H32)</f>
        <v>0</v>
      </c>
      <c r="I16" s="496">
        <f>SUM(I17,I20,I23,I26,I29:I32)</f>
        <v>0</v>
      </c>
      <c r="J16" s="227" t="s">
        <v>799</v>
      </c>
      <c r="K16" s="481" t="s">
        <v>722</v>
      </c>
      <c r="AF16" s="1552">
        <v>34</v>
      </c>
    </row>
    <row r="17" spans="1:32" ht="19.899999999999999" customHeight="1">
      <c r="D17" s="1559"/>
      <c r="E17" s="1585" t="s">
        <v>800</v>
      </c>
      <c r="F17" s="881" t="s">
        <v>801</v>
      </c>
      <c r="G17" s="1564" t="s">
        <v>644</v>
      </c>
      <c r="H17" s="495"/>
      <c r="I17" s="495"/>
      <c r="J17" s="227" t="s">
        <v>802</v>
      </c>
      <c r="K17" s="481"/>
      <c r="AF17" s="1552">
        <v>19</v>
      </c>
    </row>
    <row r="18" spans="1:32" ht="24" customHeight="1">
      <c r="D18" s="1559"/>
      <c r="E18" s="1585" t="s">
        <v>803</v>
      </c>
      <c r="F18" s="1571" t="s">
        <v>804</v>
      </c>
      <c r="G18" s="1564" t="s">
        <v>644</v>
      </c>
      <c r="H18" s="495"/>
      <c r="I18" s="495"/>
      <c r="J18" s="227" t="s">
        <v>805</v>
      </c>
      <c r="K18" s="481"/>
      <c r="AF18" s="1552">
        <v>23</v>
      </c>
    </row>
    <row r="19" spans="1:32" ht="35.65" customHeight="1">
      <c r="D19" s="1559"/>
      <c r="E19" s="1585" t="s">
        <v>806</v>
      </c>
      <c r="F19" s="1571" t="s">
        <v>807</v>
      </c>
      <c r="G19" s="1564" t="s">
        <v>644</v>
      </c>
      <c r="H19" s="495"/>
      <c r="I19" s="495"/>
      <c r="J19" s="227"/>
      <c r="K19" s="481"/>
      <c r="AF19" s="1552">
        <v>34</v>
      </c>
    </row>
    <row r="20" spans="1:32" ht="19.899999999999999" customHeight="1">
      <c r="D20" s="1559"/>
      <c r="E20" s="1585" t="s">
        <v>400</v>
      </c>
      <c r="F20" s="881" t="s">
        <v>808</v>
      </c>
      <c r="G20" s="1564" t="s">
        <v>644</v>
      </c>
      <c r="H20" s="495"/>
      <c r="I20" s="495"/>
      <c r="J20" s="227" t="s">
        <v>809</v>
      </c>
      <c r="K20" s="481"/>
      <c r="AF20" s="1552">
        <v>19</v>
      </c>
    </row>
    <row r="21" spans="1:32" ht="19.899999999999999" customHeight="1">
      <c r="D21" s="1559"/>
      <c r="E21" s="1585" t="s">
        <v>810</v>
      </c>
      <c r="F21" s="1571" t="s">
        <v>811</v>
      </c>
      <c r="G21" s="1564" t="s">
        <v>644</v>
      </c>
      <c r="H21" s="495"/>
      <c r="I21" s="495"/>
      <c r="J21" s="227"/>
      <c r="K21" s="481"/>
      <c r="AF21" s="1552">
        <v>19</v>
      </c>
    </row>
    <row r="22" spans="1:32" ht="19.899999999999999" customHeight="1">
      <c r="D22" s="1559"/>
      <c r="E22" s="1585" t="s">
        <v>812</v>
      </c>
      <c r="F22" s="1571" t="s">
        <v>813</v>
      </c>
      <c r="G22" s="1564" t="s">
        <v>644</v>
      </c>
      <c r="H22" s="495"/>
      <c r="I22" s="495"/>
      <c r="J22" s="227"/>
      <c r="K22" s="481"/>
      <c r="AF22" s="1552">
        <v>19</v>
      </c>
    </row>
    <row r="23" spans="1:32" ht="24" customHeight="1">
      <c r="D23" s="1559"/>
      <c r="E23" s="1585" t="s">
        <v>403</v>
      </c>
      <c r="F23" s="881" t="s">
        <v>814</v>
      </c>
      <c r="G23" s="1564" t="s">
        <v>644</v>
      </c>
      <c r="H23" s="495"/>
      <c r="I23" s="495"/>
      <c r="J23" s="227" t="s">
        <v>815</v>
      </c>
      <c r="K23" s="481"/>
      <c r="AF23" s="1552">
        <v>23</v>
      </c>
    </row>
    <row r="24" spans="1:32" ht="19.899999999999999" customHeight="1">
      <c r="D24" s="1559"/>
      <c r="E24" s="1585" t="s">
        <v>816</v>
      </c>
      <c r="F24" s="1571" t="s">
        <v>817</v>
      </c>
      <c r="G24" s="1564" t="s">
        <v>644</v>
      </c>
      <c r="H24" s="495"/>
      <c r="I24" s="495"/>
      <c r="J24" s="227"/>
      <c r="K24" s="481"/>
      <c r="AF24" s="1552">
        <v>19</v>
      </c>
    </row>
    <row r="25" spans="1:32" ht="35.65" customHeight="1">
      <c r="D25" s="1559"/>
      <c r="E25" s="1585" t="s">
        <v>818</v>
      </c>
      <c r="F25" s="1571" t="s">
        <v>819</v>
      </c>
      <c r="G25" s="1564" t="s">
        <v>644</v>
      </c>
      <c r="H25" s="495"/>
      <c r="I25" s="495"/>
      <c r="J25" s="227"/>
      <c r="K25" s="481"/>
      <c r="AF25" s="1552">
        <v>34</v>
      </c>
    </row>
    <row r="26" spans="1:32" ht="24" customHeight="1">
      <c r="D26" s="1559"/>
      <c r="E26" s="1585" t="s">
        <v>820</v>
      </c>
      <c r="F26" s="881" t="s">
        <v>821</v>
      </c>
      <c r="G26" s="1564" t="s">
        <v>644</v>
      </c>
      <c r="H26" s="495"/>
      <c r="I26" s="495"/>
      <c r="J26" s="227" t="s">
        <v>822</v>
      </c>
      <c r="K26" s="481"/>
      <c r="AF26" s="1552">
        <v>23</v>
      </c>
    </row>
    <row r="27" spans="1:32" ht="19.899999999999999" customHeight="1">
      <c r="D27" s="1559"/>
      <c r="E27" s="1596" t="s">
        <v>823</v>
      </c>
      <c r="F27" s="1571" t="s">
        <v>824</v>
      </c>
      <c r="G27" s="1575" t="s">
        <v>644</v>
      </c>
      <c r="H27" s="1597"/>
      <c r="I27" s="1597"/>
      <c r="J27" s="227"/>
      <c r="K27" s="481"/>
      <c r="AF27" s="1552">
        <v>19</v>
      </c>
    </row>
    <row r="28" spans="1:32" ht="19.899999999999999" customHeight="1">
      <c r="D28" s="1559"/>
      <c r="E28" s="1596" t="s">
        <v>825</v>
      </c>
      <c r="F28" s="1571" t="s">
        <v>826</v>
      </c>
      <c r="G28" s="1575" t="s">
        <v>644</v>
      </c>
      <c r="H28" s="1597"/>
      <c r="I28" s="1597"/>
      <c r="J28" s="227"/>
      <c r="K28" s="481"/>
      <c r="AF28" s="1552">
        <v>19</v>
      </c>
    </row>
    <row r="29" spans="1:32" ht="19.899999999999999" customHeight="1">
      <c r="D29" s="1559"/>
      <c r="E29" s="1596" t="s">
        <v>827</v>
      </c>
      <c r="F29" s="881" t="s">
        <v>828</v>
      </c>
      <c r="G29" s="1575" t="s">
        <v>644</v>
      </c>
      <c r="H29" s="1597"/>
      <c r="I29" s="1597"/>
      <c r="J29" s="227"/>
      <c r="K29" s="481"/>
      <c r="AF29" s="1552">
        <v>19</v>
      </c>
    </row>
    <row r="30" spans="1:32" ht="19.899999999999999" customHeight="1">
      <c r="D30" s="1559"/>
      <c r="E30" s="1596" t="s">
        <v>829</v>
      </c>
      <c r="F30" s="881" t="s">
        <v>830</v>
      </c>
      <c r="G30" s="1575" t="s">
        <v>644</v>
      </c>
      <c r="H30" s="1597"/>
      <c r="I30" s="1597"/>
      <c r="J30" s="227"/>
      <c r="K30" s="481"/>
      <c r="AF30" s="1552">
        <v>19</v>
      </c>
    </row>
    <row r="31" spans="1:32" ht="19.899999999999999" customHeight="1">
      <c r="D31" s="1559"/>
      <c r="E31" s="1596" t="s">
        <v>831</v>
      </c>
      <c r="F31" s="881" t="s">
        <v>832</v>
      </c>
      <c r="G31" s="1575" t="s">
        <v>644</v>
      </c>
      <c r="H31" s="1597"/>
      <c r="I31" s="1597"/>
      <c r="J31" s="227"/>
      <c r="K31" s="481"/>
      <c r="AF31" s="1552">
        <v>19</v>
      </c>
    </row>
    <row r="32" spans="1:32" s="4274" customFormat="1" ht="35.65" customHeight="1">
      <c r="A32" s="913"/>
      <c r="C32" s="1557"/>
      <c r="D32" s="1559"/>
      <c r="E32" s="1596" t="s">
        <v>833</v>
      </c>
      <c r="F32" s="881" t="s">
        <v>834</v>
      </c>
      <c r="G32" s="1565" t="s">
        <v>644</v>
      </c>
      <c r="H32" s="517">
        <f>SUM(H33:H34)</f>
        <v>0</v>
      </c>
      <c r="I32" s="517">
        <f>SUM(I33:I34)</f>
        <v>0</v>
      </c>
      <c r="J32" s="227" t="s">
        <v>835</v>
      </c>
      <c r="K32" s="481"/>
      <c r="L32" s="1557"/>
      <c r="M32" s="1557"/>
      <c r="R32" s="1557"/>
      <c r="U32" s="482"/>
      <c r="AA32" s="1553"/>
      <c r="AB32" s="1553"/>
      <c r="AC32" s="1553"/>
      <c r="AD32" s="1553"/>
      <c r="AE32" s="1553"/>
      <c r="AF32" s="1081">
        <v>34</v>
      </c>
    </row>
    <row r="33" spans="1:32" s="4275" customFormat="1" ht="1.1499999999999999" customHeight="1">
      <c r="A33" s="1088"/>
      <c r="D33" s="486"/>
      <c r="E33" s="734" t="str">
        <f>E32&amp;".0"</f>
        <v>2.8.0</v>
      </c>
      <c r="F33" s="917"/>
      <c r="G33" s="489"/>
      <c r="H33" s="918"/>
      <c r="I33" s="918"/>
      <c r="J33" s="919"/>
      <c r="AF33" s="1557">
        <v>1</v>
      </c>
    </row>
    <row r="34" spans="1:32" s="4274" customFormat="1" ht="19.899999999999999" customHeight="1">
      <c r="A34" s="913"/>
      <c r="C34" s="1557"/>
      <c r="D34" s="1554"/>
      <c r="E34" s="508"/>
      <c r="F34" s="1587" t="s">
        <v>669</v>
      </c>
      <c r="G34" s="510"/>
      <c r="H34" s="511"/>
      <c r="I34" s="511"/>
      <c r="J34" s="239" t="s">
        <v>836</v>
      </c>
      <c r="K34" s="481"/>
      <c r="L34" s="1557"/>
      <c r="M34" s="1557"/>
      <c r="R34" s="1557"/>
      <c r="U34" s="482"/>
      <c r="AA34" s="1553"/>
      <c r="AB34" s="1553"/>
      <c r="AC34" s="1553"/>
      <c r="AD34" s="1553"/>
      <c r="AE34" s="1553"/>
      <c r="AF34" s="1081">
        <v>19</v>
      </c>
    </row>
    <row r="35" spans="1:32" ht="60" customHeight="1">
      <c r="D35" s="1559"/>
      <c r="E35" s="1596" t="s">
        <v>837</v>
      </c>
      <c r="F35" s="881" t="s">
        <v>838</v>
      </c>
      <c r="G35" s="1575" t="s">
        <v>644</v>
      </c>
      <c r="H35" s="1597"/>
      <c r="I35" s="1597"/>
      <c r="J35" s="227" t="s">
        <v>839</v>
      </c>
      <c r="K35" s="481"/>
      <c r="AF35" s="1552">
        <v>57</v>
      </c>
    </row>
    <row r="36" spans="1:32" s="4274" customFormat="1" ht="24" customHeight="1">
      <c r="A36" s="915" t="s">
        <v>670</v>
      </c>
      <c r="C36" s="1557"/>
      <c r="D36" s="1559"/>
      <c r="E36" s="1585" t="s">
        <v>90</v>
      </c>
      <c r="F36" s="645" t="s">
        <v>840</v>
      </c>
      <c r="G36" s="1564" t="s">
        <v>644</v>
      </c>
      <c r="H36" s="495"/>
      <c r="I36" s="495"/>
      <c r="J36" s="227" t="s">
        <v>841</v>
      </c>
      <c r="K36" s="481"/>
      <c r="L36" s="1557"/>
      <c r="M36" s="1557"/>
      <c r="R36" s="1557"/>
      <c r="U36" s="482"/>
      <c r="AA36" s="1553"/>
      <c r="AB36" s="1553"/>
      <c r="AC36" s="1553"/>
      <c r="AD36" s="1553"/>
      <c r="AE36" s="1553"/>
      <c r="AF36" s="1081">
        <v>23</v>
      </c>
    </row>
    <row r="37" spans="1:32" s="4274" customFormat="1" ht="35.65" customHeight="1">
      <c r="A37" s="915"/>
      <c r="C37" s="1557"/>
      <c r="D37" s="1559"/>
      <c r="E37" s="1585" t="s">
        <v>417</v>
      </c>
      <c r="F37" s="881" t="s">
        <v>842</v>
      </c>
      <c r="G37" s="1575"/>
      <c r="H37" s="495"/>
      <c r="I37" s="495"/>
      <c r="J37" s="227"/>
      <c r="K37" s="481"/>
      <c r="L37" s="1557"/>
      <c r="M37" s="1557"/>
      <c r="R37" s="1557"/>
      <c r="U37" s="482"/>
      <c r="AA37" s="1553"/>
      <c r="AB37" s="1553"/>
      <c r="AC37" s="1553"/>
      <c r="AD37" s="1553"/>
      <c r="AE37" s="1553"/>
      <c r="AF37" s="1081">
        <v>34</v>
      </c>
    </row>
    <row r="38" spans="1:32" s="4274" customFormat="1" ht="19.899999999999999" customHeight="1">
      <c r="A38" s="913"/>
      <c r="C38" s="1557"/>
      <c r="D38" s="513"/>
      <c r="E38" s="1585" t="s">
        <v>91</v>
      </c>
      <c r="F38" s="645" t="s">
        <v>843</v>
      </c>
      <c r="G38" s="1564" t="s">
        <v>644</v>
      </c>
      <c r="H38" s="495"/>
      <c r="I38" s="495"/>
      <c r="J38" s="227" t="s">
        <v>844</v>
      </c>
      <c r="K38" s="481"/>
      <c r="L38" s="1557"/>
      <c r="M38" s="1557"/>
      <c r="R38" s="1557"/>
      <c r="U38" s="482"/>
      <c r="AA38" s="1553"/>
      <c r="AB38" s="1553"/>
      <c r="AC38" s="1553"/>
      <c r="AD38" s="1553"/>
      <c r="AE38" s="1553"/>
      <c r="AF38" s="1081">
        <v>19</v>
      </c>
    </row>
    <row r="39" spans="1:32" s="4274" customFormat="1" ht="24" customHeight="1">
      <c r="A39" s="913"/>
      <c r="C39" s="1557"/>
      <c r="D39" s="513"/>
      <c r="E39" s="1585" t="s">
        <v>845</v>
      </c>
      <c r="F39" s="881" t="s">
        <v>846</v>
      </c>
      <c r="G39" s="1575" t="s">
        <v>644</v>
      </c>
      <c r="H39" s="495"/>
      <c r="I39" s="495"/>
      <c r="J39" s="227" t="s">
        <v>847</v>
      </c>
      <c r="K39" s="481"/>
      <c r="L39" s="1557"/>
      <c r="M39" s="1557"/>
      <c r="R39" s="1557"/>
      <c r="U39" s="482"/>
      <c r="AA39" s="1553"/>
      <c r="AB39" s="1553"/>
      <c r="AC39" s="1553"/>
      <c r="AD39" s="1553"/>
      <c r="AE39" s="1553"/>
      <c r="AF39" s="1081">
        <v>23</v>
      </c>
    </row>
    <row r="40" spans="1:32" s="4274" customFormat="1" ht="24" customHeight="1">
      <c r="A40" s="913"/>
      <c r="C40" s="1557"/>
      <c r="D40" s="1559"/>
      <c r="E40" s="1585" t="s">
        <v>848</v>
      </c>
      <c r="F40" s="1571" t="s">
        <v>849</v>
      </c>
      <c r="G40" s="1564" t="s">
        <v>644</v>
      </c>
      <c r="H40" s="495"/>
      <c r="I40" s="495"/>
      <c r="J40" s="227" t="s">
        <v>850</v>
      </c>
      <c r="K40" s="481"/>
      <c r="L40" s="1557"/>
      <c r="M40" s="1557"/>
      <c r="R40" s="1557"/>
      <c r="U40" s="482"/>
      <c r="AA40" s="1553"/>
      <c r="AB40" s="1553"/>
      <c r="AC40" s="1553"/>
      <c r="AD40" s="1553"/>
      <c r="AE40" s="1553"/>
      <c r="AF40" s="1081">
        <v>23</v>
      </c>
    </row>
    <row r="41" spans="1:32" s="4274" customFormat="1" ht="24" customHeight="1">
      <c r="A41" s="913"/>
      <c r="C41" s="1557"/>
      <c r="D41" s="1559"/>
      <c r="E41" s="1585" t="s">
        <v>851</v>
      </c>
      <c r="F41" s="1571" t="s">
        <v>852</v>
      </c>
      <c r="G41" s="1564" t="s">
        <v>644</v>
      </c>
      <c r="H41" s="495"/>
      <c r="I41" s="495"/>
      <c r="J41" s="227" t="s">
        <v>853</v>
      </c>
      <c r="K41" s="481"/>
      <c r="L41" s="1557"/>
      <c r="M41" s="1557"/>
      <c r="R41" s="1557"/>
      <c r="U41" s="482"/>
      <c r="AA41" s="1553"/>
      <c r="AB41" s="1553"/>
      <c r="AC41" s="1553"/>
      <c r="AD41" s="1553"/>
      <c r="AE41" s="1553"/>
      <c r="AF41" s="1081">
        <v>23</v>
      </c>
    </row>
    <row r="42" spans="1:32" s="4274" customFormat="1" ht="24" customHeight="1">
      <c r="A42" s="913"/>
      <c r="C42" s="1557"/>
      <c r="D42" s="1559"/>
      <c r="E42" s="1585" t="s">
        <v>854</v>
      </c>
      <c r="F42" s="1571" t="s">
        <v>855</v>
      </c>
      <c r="G42" s="1564" t="s">
        <v>644</v>
      </c>
      <c r="H42" s="495"/>
      <c r="I42" s="495"/>
      <c r="J42" s="227" t="s">
        <v>856</v>
      </c>
      <c r="K42" s="481"/>
      <c r="L42" s="1557"/>
      <c r="M42" s="1557"/>
      <c r="R42" s="1557"/>
      <c r="U42" s="482"/>
      <c r="AA42" s="1553"/>
      <c r="AB42" s="1553"/>
      <c r="AC42" s="1553"/>
      <c r="AD42" s="1553"/>
      <c r="AE42" s="1553"/>
      <c r="AF42" s="1081">
        <v>23</v>
      </c>
    </row>
    <row r="43" spans="1:32" s="4274" customFormat="1" ht="35.65" customHeight="1">
      <c r="A43" s="913"/>
      <c r="C43" s="1557" t="s">
        <v>680</v>
      </c>
      <c r="D43" s="1559"/>
      <c r="E43" s="1585" t="s">
        <v>116</v>
      </c>
      <c r="F43" s="645" t="s">
        <v>721</v>
      </c>
      <c r="G43" s="1567" t="s">
        <v>857</v>
      </c>
      <c r="H43" s="339"/>
      <c r="I43" s="339"/>
      <c r="J43" s="227" t="s">
        <v>858</v>
      </c>
      <c r="K43" s="481"/>
      <c r="L43" s="1557"/>
      <c r="M43" s="1557"/>
      <c r="R43" s="1557"/>
      <c r="U43" s="482"/>
      <c r="AA43" s="1553"/>
      <c r="AB43" s="1553"/>
      <c r="AC43" s="1553"/>
      <c r="AD43" s="1553"/>
      <c r="AE43" s="1553"/>
      <c r="AF43" s="1081">
        <v>34</v>
      </c>
    </row>
    <row r="44" spans="1:32" s="4274" customFormat="1" ht="35.65" customHeight="1">
      <c r="A44" s="913"/>
      <c r="C44" s="1557"/>
      <c r="D44" s="1559"/>
      <c r="E44" s="1585" t="s">
        <v>92</v>
      </c>
      <c r="F44" s="645" t="s">
        <v>859</v>
      </c>
      <c r="G44" s="1564" t="s">
        <v>860</v>
      </c>
      <c r="H44" s="483"/>
      <c r="I44" s="483"/>
      <c r="J44" s="227" t="s">
        <v>861</v>
      </c>
      <c r="K44" s="481"/>
      <c r="L44" s="1557"/>
      <c r="M44" s="1557"/>
      <c r="R44" s="1557"/>
      <c r="U44" s="482"/>
      <c r="AA44" s="1553"/>
      <c r="AB44" s="1553"/>
      <c r="AC44" s="1553"/>
      <c r="AD44" s="1553"/>
      <c r="AE44" s="1553"/>
      <c r="AF44" s="1081">
        <v>34</v>
      </c>
    </row>
    <row r="45" spans="1:32" s="4274" customFormat="1" ht="24" customHeight="1">
      <c r="A45" s="913"/>
      <c r="C45" s="1557"/>
      <c r="D45" s="1559"/>
      <c r="E45" s="1585" t="s">
        <v>93</v>
      </c>
      <c r="F45" s="645" t="s">
        <v>862</v>
      </c>
      <c r="G45" s="1575" t="s">
        <v>863</v>
      </c>
      <c r="H45" s="483"/>
      <c r="I45" s="483"/>
      <c r="J45" s="227" t="s">
        <v>864</v>
      </c>
      <c r="K45" s="481"/>
      <c r="L45" s="1557"/>
      <c r="M45" s="1557"/>
      <c r="R45" s="1557"/>
      <c r="U45" s="482"/>
      <c r="AA45" s="1553"/>
      <c r="AB45" s="1553"/>
      <c r="AC45" s="1553"/>
      <c r="AD45" s="1553"/>
      <c r="AE45" s="1553"/>
      <c r="AF45" s="1081">
        <v>23</v>
      </c>
    </row>
    <row r="46" spans="1:32" s="4274" customFormat="1" ht="19.899999999999999" customHeight="1">
      <c r="A46" s="913"/>
      <c r="C46" s="1557"/>
      <c r="D46" s="1559"/>
      <c r="E46" s="1585" t="s">
        <v>129</v>
      </c>
      <c r="F46" s="645" t="s">
        <v>865</v>
      </c>
      <c r="G46" s="1564" t="s">
        <v>682</v>
      </c>
      <c r="H46" s="515"/>
      <c r="I46" s="515"/>
      <c r="J46" s="227"/>
      <c r="K46" s="481"/>
      <c r="L46" s="1557"/>
      <c r="M46" s="1557"/>
      <c r="R46" s="1557"/>
      <c r="U46" s="482"/>
      <c r="AA46" s="1553"/>
      <c r="AB46" s="1553"/>
      <c r="AC46" s="1553"/>
      <c r="AD46" s="1553"/>
      <c r="AE46" s="1553"/>
      <c r="AF46" s="1081">
        <v>19</v>
      </c>
    </row>
    <row r="47" spans="1:32" ht="11.45" customHeight="1">
      <c r="D47" s="1559"/>
      <c r="AF47" s="1552">
        <v>11</v>
      </c>
    </row>
    <row r="48" spans="1:32" s="4299" customFormat="1" ht="11.45" customHeight="1">
      <c r="A48" s="913"/>
      <c r="B48" s="1557"/>
      <c r="C48" s="1557"/>
      <c r="D48" s="289"/>
      <c r="K48" s="1081"/>
      <c r="L48" s="1557"/>
      <c r="M48" s="1557"/>
      <c r="N48" s="1081"/>
      <c r="O48" s="1081"/>
      <c r="P48" s="1081"/>
      <c r="Q48" s="1081"/>
      <c r="R48" s="1557"/>
      <c r="S48" s="1081"/>
      <c r="T48" s="1081"/>
      <c r="U48" s="482"/>
      <c r="V48" s="1081"/>
      <c r="W48" s="1081"/>
      <c r="X48" s="1081"/>
      <c r="Y48" s="1081"/>
      <c r="Z48" s="1081"/>
      <c r="AA48" s="1553"/>
      <c r="AB48" s="504"/>
      <c r="AC48" s="504"/>
      <c r="AD48" s="504"/>
      <c r="AE48" s="504"/>
      <c r="AF48" s="1562">
        <v>11</v>
      </c>
    </row>
    <row r="49" spans="1:32" s="4299" customFormat="1" ht="11.45" customHeight="1">
      <c r="A49" s="913"/>
      <c r="B49" s="1557"/>
      <c r="C49" s="1557"/>
      <c r="D49" s="289"/>
      <c r="K49" s="1081"/>
      <c r="L49" s="1557"/>
      <c r="M49" s="1557"/>
      <c r="N49" s="1081"/>
      <c r="O49" s="1081"/>
      <c r="P49" s="1081"/>
      <c r="Q49" s="1081"/>
      <c r="R49" s="1557"/>
      <c r="S49" s="1081"/>
      <c r="T49" s="1081"/>
      <c r="U49" s="482"/>
      <c r="V49" s="1081"/>
      <c r="W49" s="1081"/>
      <c r="X49" s="1081"/>
      <c r="Y49" s="1081"/>
      <c r="Z49" s="1081"/>
      <c r="AA49" s="1553"/>
      <c r="AB49" s="504"/>
      <c r="AC49" s="504"/>
      <c r="AD49" s="504"/>
      <c r="AE49" s="504"/>
      <c r="AF49" s="1562">
        <v>11</v>
      </c>
    </row>
    <row r="50" spans="1:32" s="4299" customFormat="1" ht="11.45" customHeight="1">
      <c r="A50" s="913"/>
      <c r="B50" s="1557"/>
      <c r="C50" s="1557"/>
      <c r="D50" s="289"/>
      <c r="H50" s="504"/>
      <c r="I50" s="504"/>
      <c r="K50" s="1081"/>
      <c r="L50" s="1557"/>
      <c r="M50" s="1557"/>
      <c r="N50" s="1081"/>
      <c r="O50" s="1081"/>
      <c r="P50" s="1081"/>
      <c r="Q50" s="1081"/>
      <c r="R50" s="1557"/>
      <c r="S50" s="1081"/>
      <c r="T50" s="1081"/>
      <c r="U50" s="482"/>
      <c r="V50" s="1081"/>
      <c r="W50" s="1081"/>
      <c r="X50" s="1081"/>
      <c r="Y50" s="1081"/>
      <c r="Z50" s="1081"/>
      <c r="AA50" s="1553"/>
      <c r="AB50" s="504"/>
      <c r="AC50" s="504"/>
      <c r="AD50" s="504"/>
      <c r="AE50" s="504"/>
      <c r="AF50" s="1562">
        <v>11</v>
      </c>
    </row>
    <row r="51" spans="1:32" s="4299" customFormat="1" ht="11.45" customHeight="1">
      <c r="A51" s="913"/>
      <c r="B51" s="1557"/>
      <c r="C51" s="1557"/>
      <c r="D51" s="289"/>
      <c r="K51" s="1081"/>
      <c r="L51" s="1557"/>
      <c r="M51" s="1557"/>
      <c r="N51" s="1081"/>
      <c r="O51" s="1081"/>
      <c r="P51" s="1081"/>
      <c r="Q51" s="1081"/>
      <c r="R51" s="1557"/>
      <c r="S51" s="1081"/>
      <c r="T51" s="1081"/>
      <c r="U51" s="482"/>
      <c r="V51" s="1081"/>
      <c r="W51" s="1081"/>
      <c r="X51" s="1081"/>
      <c r="Y51" s="1081"/>
      <c r="Z51" s="1081"/>
      <c r="AA51" s="1553"/>
      <c r="AB51" s="504"/>
      <c r="AC51" s="504"/>
      <c r="AD51" s="504"/>
      <c r="AE51" s="504"/>
      <c r="AF51" s="1562">
        <v>11</v>
      </c>
    </row>
    <row r="52" spans="1:32" s="4299" customFormat="1" ht="11.45" customHeight="1">
      <c r="A52" s="913"/>
      <c r="B52" s="1557"/>
      <c r="C52" s="1557"/>
      <c r="D52" s="289"/>
      <c r="K52" s="1081"/>
      <c r="L52" s="1557"/>
      <c r="M52" s="1557"/>
      <c r="N52" s="1081"/>
      <c r="O52" s="1081"/>
      <c r="P52" s="1081"/>
      <c r="Q52" s="1081"/>
      <c r="R52" s="1557"/>
      <c r="S52" s="1081"/>
      <c r="T52" s="1081"/>
      <c r="U52" s="482"/>
      <c r="V52" s="1081"/>
      <c r="W52" s="1081"/>
      <c r="X52" s="1081"/>
      <c r="Y52" s="1081"/>
      <c r="Z52" s="1081"/>
      <c r="AA52" s="1553"/>
      <c r="AB52" s="504"/>
      <c r="AC52" s="504"/>
      <c r="AD52" s="504"/>
      <c r="AE52" s="504"/>
      <c r="AF52" s="1562">
        <v>11</v>
      </c>
    </row>
    <row r="53" spans="1:32" s="4299" customFormat="1" ht="11.45" customHeight="1">
      <c r="A53" s="913"/>
      <c r="B53" s="1557"/>
      <c r="C53" s="1557"/>
      <c r="D53" s="289"/>
      <c r="K53" s="1081"/>
      <c r="L53" s="1557"/>
      <c r="M53" s="1557"/>
      <c r="N53" s="1081"/>
      <c r="O53" s="1081"/>
      <c r="P53" s="1081"/>
      <c r="Q53" s="1081"/>
      <c r="R53" s="1557"/>
      <c r="S53" s="1081"/>
      <c r="T53" s="1081"/>
      <c r="U53" s="482"/>
      <c r="V53" s="1081"/>
      <c r="W53" s="1081"/>
      <c r="X53" s="1081"/>
      <c r="Y53" s="1081"/>
      <c r="Z53" s="1081"/>
      <c r="AA53" s="1553"/>
      <c r="AB53" s="504"/>
      <c r="AC53" s="504"/>
      <c r="AD53" s="504"/>
      <c r="AE53" s="504"/>
      <c r="AF53" s="1562">
        <v>11</v>
      </c>
    </row>
    <row r="54" spans="1:32" s="4299" customFormat="1" ht="11.45" customHeight="1">
      <c r="A54" s="913"/>
      <c r="B54" s="1557"/>
      <c r="C54" s="1557"/>
      <c r="D54" s="289"/>
      <c r="K54" s="1081"/>
      <c r="L54" s="1557"/>
      <c r="M54" s="1557"/>
      <c r="N54" s="1081"/>
      <c r="O54" s="1081"/>
      <c r="P54" s="1081"/>
      <c r="Q54" s="1081"/>
      <c r="R54" s="1557"/>
      <c r="S54" s="1081"/>
      <c r="T54" s="1081"/>
      <c r="U54" s="482"/>
      <c r="V54" s="1081"/>
      <c r="W54" s="1081"/>
      <c r="X54" s="1081"/>
      <c r="Y54" s="1081"/>
      <c r="Z54" s="1081"/>
      <c r="AA54" s="1553"/>
      <c r="AB54" s="504"/>
      <c r="AC54" s="504"/>
      <c r="AD54" s="504"/>
      <c r="AE54" s="504"/>
      <c r="AF54" s="1562">
        <v>11</v>
      </c>
    </row>
    <row r="55" spans="1:32" s="4299" customFormat="1" ht="11.45" customHeight="1">
      <c r="A55" s="913"/>
      <c r="B55" s="1557"/>
      <c r="C55" s="1557"/>
      <c r="D55" s="289"/>
      <c r="K55" s="1081"/>
      <c r="L55" s="1557"/>
      <c r="M55" s="1557"/>
      <c r="N55" s="1081"/>
      <c r="O55" s="1081"/>
      <c r="P55" s="1081"/>
      <c r="Q55" s="1081"/>
      <c r="R55" s="1557"/>
      <c r="S55" s="1081"/>
      <c r="T55" s="1081"/>
      <c r="U55" s="482"/>
      <c r="V55" s="1081"/>
      <c r="W55" s="1081"/>
      <c r="X55" s="1081"/>
      <c r="Y55" s="1081"/>
      <c r="Z55" s="1081"/>
      <c r="AA55" s="1553"/>
      <c r="AB55" s="504"/>
      <c r="AC55" s="504"/>
      <c r="AD55" s="504"/>
      <c r="AE55" s="504"/>
      <c r="AF55" s="1562">
        <v>11</v>
      </c>
    </row>
    <row r="56" spans="1:32" s="4299" customFormat="1" ht="11.45" customHeight="1">
      <c r="A56" s="913"/>
      <c r="B56" s="1557"/>
      <c r="C56" s="1557"/>
      <c r="D56" s="289"/>
      <c r="K56" s="1081"/>
      <c r="L56" s="1557"/>
      <c r="M56" s="1557"/>
      <c r="N56" s="1081"/>
      <c r="O56" s="1081"/>
      <c r="P56" s="1081"/>
      <c r="Q56" s="1081"/>
      <c r="R56" s="1557"/>
      <c r="S56" s="1081"/>
      <c r="T56" s="1081"/>
      <c r="U56" s="482"/>
      <c r="V56" s="1081"/>
      <c r="W56" s="1081"/>
      <c r="X56" s="1081"/>
      <c r="Y56" s="1081"/>
      <c r="Z56" s="1081"/>
      <c r="AA56" s="1553"/>
      <c r="AB56" s="504"/>
      <c r="AC56" s="504"/>
      <c r="AD56" s="504"/>
      <c r="AE56" s="504"/>
      <c r="AF56" s="1562">
        <v>11</v>
      </c>
    </row>
    <row r="57" spans="1:32" s="4299" customFormat="1" ht="11.45" customHeight="1">
      <c r="A57" s="913"/>
      <c r="B57" s="1557"/>
      <c r="C57" s="1557"/>
      <c r="D57" s="289"/>
      <c r="K57" s="1081"/>
      <c r="L57" s="1557"/>
      <c r="M57" s="1557"/>
      <c r="N57" s="1081"/>
      <c r="O57" s="1081"/>
      <c r="P57" s="1081"/>
      <c r="Q57" s="1081"/>
      <c r="R57" s="1557"/>
      <c r="S57" s="1081"/>
      <c r="T57" s="1081"/>
      <c r="U57" s="482"/>
      <c r="V57" s="1081"/>
      <c r="W57" s="1081"/>
      <c r="X57" s="1081"/>
      <c r="Y57" s="1081"/>
      <c r="Z57" s="1081"/>
      <c r="AA57" s="1553"/>
      <c r="AB57" s="504"/>
      <c r="AC57" s="504"/>
      <c r="AD57" s="504"/>
      <c r="AE57" s="504"/>
      <c r="AF57" s="1562">
        <v>11</v>
      </c>
    </row>
    <row r="58" spans="1:32" s="4299" customFormat="1" ht="11.45" customHeight="1">
      <c r="A58" s="913"/>
      <c r="B58" s="1557"/>
      <c r="C58" s="1557"/>
      <c r="D58" s="289"/>
      <c r="K58" s="1081"/>
      <c r="L58" s="1557"/>
      <c r="M58" s="1557"/>
      <c r="N58" s="1081"/>
      <c r="O58" s="1081"/>
      <c r="P58" s="1081"/>
      <c r="Q58" s="1081"/>
      <c r="R58" s="1557"/>
      <c r="S58" s="1081"/>
      <c r="T58" s="1081"/>
      <c r="U58" s="482"/>
      <c r="V58" s="1081"/>
      <c r="W58" s="1081"/>
      <c r="X58" s="1081"/>
      <c r="Y58" s="1081"/>
      <c r="Z58" s="1081"/>
      <c r="AA58" s="1553"/>
      <c r="AB58" s="504"/>
      <c r="AC58" s="504"/>
      <c r="AD58" s="504"/>
      <c r="AE58" s="504"/>
      <c r="AF58" s="1562">
        <v>11</v>
      </c>
    </row>
    <row r="59" spans="1:32" s="4299" customFormat="1" ht="11.45" customHeight="1">
      <c r="A59" s="913"/>
      <c r="B59" s="1557"/>
      <c r="C59" s="1557"/>
      <c r="D59" s="289"/>
      <c r="K59" s="1081"/>
      <c r="L59" s="1557"/>
      <c r="M59" s="1557"/>
      <c r="N59" s="1081"/>
      <c r="O59" s="1081"/>
      <c r="P59" s="1081"/>
      <c r="Q59" s="1081"/>
      <c r="R59" s="1557"/>
      <c r="S59" s="1081"/>
      <c r="T59" s="1081"/>
      <c r="U59" s="482"/>
      <c r="V59" s="1081"/>
      <c r="W59" s="1081"/>
      <c r="X59" s="1081"/>
      <c r="Y59" s="1081"/>
      <c r="Z59" s="1081"/>
      <c r="AA59" s="1553"/>
      <c r="AB59" s="504"/>
      <c r="AC59" s="504"/>
      <c r="AD59" s="504"/>
      <c r="AE59" s="504"/>
      <c r="AF59" s="1562">
        <v>11</v>
      </c>
    </row>
    <row r="60" spans="1:32" s="4299" customFormat="1" ht="11.45" customHeight="1">
      <c r="A60" s="913"/>
      <c r="B60" s="1557"/>
      <c r="C60" s="1557"/>
      <c r="D60" s="289"/>
      <c r="K60" s="1081"/>
      <c r="L60" s="1557"/>
      <c r="M60" s="1557"/>
      <c r="N60" s="1081"/>
      <c r="O60" s="1081"/>
      <c r="P60" s="1081"/>
      <c r="Q60" s="1081"/>
      <c r="R60" s="1557"/>
      <c r="S60" s="1081"/>
      <c r="T60" s="1081"/>
      <c r="U60" s="482"/>
      <c r="V60" s="1081"/>
      <c r="W60" s="1081"/>
      <c r="X60" s="1081"/>
      <c r="Y60" s="1081"/>
      <c r="Z60" s="1081"/>
      <c r="AA60" s="1553"/>
      <c r="AB60" s="504"/>
      <c r="AC60" s="504"/>
      <c r="AD60" s="504"/>
      <c r="AE60" s="504"/>
      <c r="AF60" s="1562">
        <v>11</v>
      </c>
    </row>
    <row r="61" spans="1:32" s="4299" customFormat="1" ht="11.45" customHeight="1">
      <c r="A61" s="913"/>
      <c r="B61" s="1557"/>
      <c r="C61" s="1557"/>
      <c r="D61" s="289"/>
      <c r="K61" s="1081"/>
      <c r="L61" s="1557"/>
      <c r="M61" s="1557"/>
      <c r="N61" s="1081"/>
      <c r="O61" s="1081"/>
      <c r="P61" s="1081"/>
      <c r="Q61" s="1081"/>
      <c r="R61" s="1557"/>
      <c r="S61" s="1081"/>
      <c r="T61" s="1081"/>
      <c r="U61" s="482"/>
      <c r="V61" s="1081"/>
      <c r="W61" s="1081"/>
      <c r="X61" s="1081"/>
      <c r="Y61" s="1081"/>
      <c r="Z61" s="1081"/>
      <c r="AA61" s="1553"/>
      <c r="AB61" s="504"/>
      <c r="AC61" s="504"/>
      <c r="AD61" s="504"/>
      <c r="AE61" s="504"/>
      <c r="AF61" s="1562">
        <v>11</v>
      </c>
    </row>
    <row r="62" spans="1:32" s="4299" customFormat="1" ht="11.45" customHeight="1">
      <c r="A62" s="913"/>
      <c r="B62" s="1557"/>
      <c r="C62" s="1557"/>
      <c r="D62" s="289"/>
      <c r="K62" s="1081"/>
      <c r="L62" s="1557"/>
      <c r="M62" s="1557"/>
      <c r="N62" s="1081"/>
      <c r="O62" s="1081"/>
      <c r="P62" s="1081"/>
      <c r="Q62" s="1081"/>
      <c r="R62" s="1557"/>
      <c r="S62" s="1081"/>
      <c r="T62" s="1081"/>
      <c r="U62" s="482"/>
      <c r="V62" s="1081"/>
      <c r="W62" s="1081"/>
      <c r="X62" s="1081"/>
      <c r="Y62" s="1081"/>
      <c r="Z62" s="1081"/>
      <c r="AA62" s="1553"/>
      <c r="AB62" s="504"/>
      <c r="AC62" s="504"/>
      <c r="AD62" s="504"/>
      <c r="AE62" s="504"/>
      <c r="AF62" s="1562">
        <v>11</v>
      </c>
    </row>
    <row r="63" spans="1:32" s="4299" customFormat="1" ht="11.45" customHeight="1">
      <c r="A63" s="913"/>
      <c r="B63" s="1557"/>
      <c r="C63" s="1557"/>
      <c r="D63" s="289"/>
      <c r="K63" s="1081"/>
      <c r="L63" s="1557"/>
      <c r="M63" s="1557"/>
      <c r="N63" s="1081"/>
      <c r="O63" s="1081"/>
      <c r="P63" s="1081"/>
      <c r="Q63" s="1081"/>
      <c r="R63" s="1557"/>
      <c r="S63" s="1081"/>
      <c r="T63" s="1081"/>
      <c r="U63" s="482"/>
      <c r="V63" s="1081"/>
      <c r="W63" s="1081"/>
      <c r="X63" s="1081"/>
      <c r="Y63" s="1081"/>
      <c r="Z63" s="1081"/>
      <c r="AA63" s="1553"/>
      <c r="AB63" s="504"/>
      <c r="AC63" s="504"/>
      <c r="AD63" s="504"/>
      <c r="AE63" s="504"/>
      <c r="AF63" s="1562">
        <v>11</v>
      </c>
    </row>
    <row r="64" spans="1:32" s="4299" customFormat="1" ht="11.45" customHeight="1">
      <c r="A64" s="913"/>
      <c r="B64" s="1557"/>
      <c r="C64" s="1557"/>
      <c r="D64" s="289"/>
      <c r="K64" s="1081"/>
      <c r="L64" s="1557"/>
      <c r="M64" s="1557"/>
      <c r="N64" s="1081"/>
      <c r="O64" s="1081"/>
      <c r="P64" s="1081"/>
      <c r="Q64" s="1081"/>
      <c r="R64" s="1557"/>
      <c r="S64" s="1081"/>
      <c r="T64" s="1081"/>
      <c r="U64" s="482"/>
      <c r="V64" s="1081"/>
      <c r="W64" s="1081"/>
      <c r="X64" s="1081"/>
      <c r="Y64" s="1081"/>
      <c r="Z64" s="1081"/>
      <c r="AA64" s="1553"/>
      <c r="AB64" s="504"/>
      <c r="AC64" s="504"/>
      <c r="AD64" s="504"/>
      <c r="AE64" s="504"/>
      <c r="AF64" s="1562">
        <v>11</v>
      </c>
    </row>
    <row r="65" spans="1:32" s="4299" customFormat="1" ht="11.45" customHeight="1">
      <c r="A65" s="913"/>
      <c r="B65" s="1557"/>
      <c r="C65" s="1557"/>
      <c r="D65" s="289"/>
      <c r="K65" s="1081"/>
      <c r="L65" s="1557"/>
      <c r="M65" s="1557"/>
      <c r="N65" s="1081"/>
      <c r="O65" s="1081"/>
      <c r="P65" s="1081"/>
      <c r="Q65" s="1081"/>
      <c r="R65" s="1557"/>
      <c r="S65" s="1081"/>
      <c r="T65" s="1081"/>
      <c r="U65" s="482"/>
      <c r="V65" s="1081"/>
      <c r="W65" s="1081"/>
      <c r="X65" s="1081"/>
      <c r="Y65" s="1081"/>
      <c r="Z65" s="1081"/>
      <c r="AA65" s="1553"/>
      <c r="AB65" s="504"/>
      <c r="AC65" s="504"/>
      <c r="AD65" s="504"/>
      <c r="AE65" s="504"/>
      <c r="AF65" s="1562">
        <v>11</v>
      </c>
    </row>
    <row r="66" spans="1:32" s="4299" customFormat="1" ht="11.45" customHeight="1">
      <c r="A66" s="913"/>
      <c r="B66" s="1557"/>
      <c r="C66" s="1557"/>
      <c r="D66" s="289"/>
      <c r="K66" s="1081"/>
      <c r="L66" s="1557"/>
      <c r="M66" s="1557"/>
      <c r="N66" s="1081"/>
      <c r="O66" s="1081"/>
      <c r="P66" s="1081"/>
      <c r="Q66" s="1081"/>
      <c r="R66" s="1557"/>
      <c r="S66" s="1081"/>
      <c r="T66" s="1081"/>
      <c r="U66" s="482"/>
      <c r="V66" s="1081"/>
      <c r="W66" s="1081"/>
      <c r="X66" s="1081"/>
      <c r="Y66" s="1081"/>
      <c r="Z66" s="1081"/>
      <c r="AA66" s="1553"/>
      <c r="AB66" s="504"/>
      <c r="AC66" s="504"/>
      <c r="AD66" s="504"/>
      <c r="AE66" s="504"/>
      <c r="AF66" s="1562">
        <v>11</v>
      </c>
    </row>
    <row r="67" spans="1:32" s="4299" customFormat="1" ht="11.45" customHeight="1">
      <c r="A67" s="913"/>
      <c r="B67" s="1557"/>
      <c r="C67" s="1557"/>
      <c r="D67" s="289"/>
      <c r="K67" s="1081"/>
      <c r="L67" s="1557"/>
      <c r="M67" s="1557"/>
      <c r="N67" s="1081"/>
      <c r="O67" s="1081"/>
      <c r="P67" s="1081"/>
      <c r="Q67" s="1081"/>
      <c r="R67" s="1557"/>
      <c r="S67" s="1081"/>
      <c r="T67" s="1081"/>
      <c r="U67" s="482"/>
      <c r="V67" s="1081"/>
      <c r="W67" s="1081"/>
      <c r="X67" s="1081"/>
      <c r="Y67" s="1081"/>
      <c r="Z67" s="1081"/>
      <c r="AA67" s="1553"/>
      <c r="AB67" s="504"/>
      <c r="AC67" s="504"/>
      <c r="AD67" s="504"/>
      <c r="AE67" s="504"/>
      <c r="AF67" s="1562">
        <v>11</v>
      </c>
    </row>
    <row r="68" spans="1:32" s="4299" customFormat="1" ht="11.45" customHeight="1">
      <c r="A68" s="913"/>
      <c r="B68" s="1557"/>
      <c r="C68" s="1557"/>
      <c r="D68" s="289"/>
      <c r="K68" s="1081"/>
      <c r="L68" s="1557"/>
      <c r="M68" s="1557"/>
      <c r="N68" s="1081"/>
      <c r="O68" s="1081"/>
      <c r="P68" s="1081"/>
      <c r="Q68" s="1081"/>
      <c r="R68" s="1557"/>
      <c r="S68" s="1081"/>
      <c r="T68" s="1081"/>
      <c r="U68" s="482"/>
      <c r="V68" s="1081"/>
      <c r="W68" s="1081"/>
      <c r="X68" s="1081"/>
      <c r="Y68" s="1081"/>
      <c r="Z68" s="1081"/>
      <c r="AA68" s="1553"/>
      <c r="AB68" s="504"/>
      <c r="AC68" s="504"/>
      <c r="AD68" s="504"/>
      <c r="AE68" s="504"/>
      <c r="AF68" s="1562">
        <v>11</v>
      </c>
    </row>
    <row r="69" spans="1:32" s="4299" customFormat="1" ht="11.45" customHeight="1">
      <c r="A69" s="913"/>
      <c r="B69" s="1557"/>
      <c r="C69" s="1557"/>
      <c r="D69" s="289"/>
      <c r="K69" s="1081"/>
      <c r="L69" s="1557"/>
      <c r="M69" s="1557"/>
      <c r="N69" s="1081"/>
      <c r="O69" s="1081"/>
      <c r="P69" s="1081"/>
      <c r="Q69" s="1081"/>
      <c r="R69" s="1557"/>
      <c r="S69" s="1081"/>
      <c r="T69" s="1081"/>
      <c r="U69" s="482"/>
      <c r="V69" s="1081"/>
      <c r="W69" s="1081"/>
      <c r="X69" s="1081"/>
      <c r="Y69" s="1081"/>
      <c r="Z69" s="1081"/>
      <c r="AA69" s="1553"/>
      <c r="AB69" s="504"/>
      <c r="AC69" s="504"/>
      <c r="AD69" s="504"/>
      <c r="AE69" s="504"/>
      <c r="AF69" s="1562">
        <v>11</v>
      </c>
    </row>
    <row r="70" spans="1:32" s="4299" customFormat="1" ht="11.45" customHeight="1">
      <c r="A70" s="913"/>
      <c r="B70" s="1557"/>
      <c r="C70" s="1557"/>
      <c r="D70" s="289"/>
      <c r="K70" s="1081"/>
      <c r="L70" s="1557"/>
      <c r="M70" s="1557"/>
      <c r="N70" s="1081"/>
      <c r="O70" s="1081"/>
      <c r="P70" s="1081"/>
      <c r="Q70" s="1081"/>
      <c r="R70" s="1557"/>
      <c r="S70" s="1081"/>
      <c r="T70" s="1081"/>
      <c r="U70" s="482"/>
      <c r="V70" s="1081"/>
      <c r="W70" s="1081"/>
      <c r="X70" s="1081"/>
      <c r="Y70" s="1081"/>
      <c r="Z70" s="1081"/>
      <c r="AA70" s="1553"/>
      <c r="AB70" s="504"/>
      <c r="AC70" s="504"/>
      <c r="AD70" s="504"/>
      <c r="AE70" s="504"/>
      <c r="AF70" s="1562">
        <v>11</v>
      </c>
    </row>
    <row r="71" spans="1:32" s="4299" customFormat="1" ht="11.45" customHeight="1">
      <c r="A71" s="913"/>
      <c r="B71" s="1557"/>
      <c r="C71" s="1557"/>
      <c r="D71" s="289"/>
      <c r="K71" s="1081"/>
      <c r="L71" s="1557"/>
      <c r="M71" s="1557"/>
      <c r="N71" s="1081"/>
      <c r="O71" s="1081"/>
      <c r="P71" s="1081"/>
      <c r="Q71" s="1081"/>
      <c r="R71" s="1557"/>
      <c r="S71" s="1081"/>
      <c r="T71" s="1081"/>
      <c r="U71" s="482"/>
      <c r="V71" s="1081"/>
      <c r="W71" s="1081"/>
      <c r="X71" s="1081"/>
      <c r="Y71" s="1081"/>
      <c r="Z71" s="1081"/>
      <c r="AA71" s="1553"/>
      <c r="AB71" s="504"/>
      <c r="AC71" s="504"/>
      <c r="AD71" s="504"/>
      <c r="AE71" s="504"/>
      <c r="AF71" s="1562">
        <v>11</v>
      </c>
    </row>
    <row r="72" spans="1:32" s="4299" customFormat="1" ht="11.45" customHeight="1">
      <c r="A72" s="913"/>
      <c r="B72" s="1557"/>
      <c r="C72" s="1557"/>
      <c r="D72" s="289"/>
      <c r="K72" s="1081"/>
      <c r="L72" s="1557"/>
      <c r="M72" s="1557"/>
      <c r="N72" s="1081"/>
      <c r="O72" s="1081"/>
      <c r="P72" s="1081"/>
      <c r="Q72" s="1081"/>
      <c r="R72" s="1557"/>
      <c r="S72" s="1081"/>
      <c r="T72" s="1081"/>
      <c r="U72" s="482"/>
      <c r="V72" s="1081"/>
      <c r="W72" s="1081"/>
      <c r="X72" s="1081"/>
      <c r="Y72" s="1081"/>
      <c r="Z72" s="1081"/>
      <c r="AA72" s="1553"/>
      <c r="AB72" s="504"/>
      <c r="AC72" s="504"/>
      <c r="AD72" s="504"/>
      <c r="AE72" s="504"/>
      <c r="AF72" s="1562">
        <v>11</v>
      </c>
    </row>
    <row r="73" spans="1:32" s="4299" customFormat="1" ht="11.45" customHeight="1">
      <c r="A73" s="913"/>
      <c r="B73" s="1557"/>
      <c r="C73" s="1557"/>
      <c r="D73" s="289"/>
      <c r="K73" s="1081"/>
      <c r="L73" s="1557"/>
      <c r="M73" s="1557"/>
      <c r="N73" s="1081"/>
      <c r="O73" s="1081"/>
      <c r="P73" s="1081"/>
      <c r="Q73" s="1081"/>
      <c r="R73" s="1557"/>
      <c r="S73" s="1081"/>
      <c r="T73" s="1081"/>
      <c r="U73" s="482"/>
      <c r="V73" s="1081"/>
      <c r="W73" s="1081"/>
      <c r="X73" s="1081"/>
      <c r="Y73" s="1081"/>
      <c r="Z73" s="1081"/>
      <c r="AA73" s="1553"/>
      <c r="AB73" s="504"/>
      <c r="AC73" s="504"/>
      <c r="AD73" s="504"/>
      <c r="AE73" s="504"/>
      <c r="AF73" s="1562">
        <v>11</v>
      </c>
    </row>
    <row r="74" spans="1:32" s="4299" customFormat="1" ht="11.45" customHeight="1">
      <c r="A74" s="913"/>
      <c r="B74" s="1557"/>
      <c r="C74" s="1557"/>
      <c r="D74" s="289"/>
      <c r="K74" s="1081"/>
      <c r="L74" s="1557"/>
      <c r="M74" s="1557"/>
      <c r="N74" s="1081"/>
      <c r="O74" s="1081"/>
      <c r="P74" s="1081"/>
      <c r="Q74" s="1081"/>
      <c r="R74" s="1557"/>
      <c r="S74" s="1081"/>
      <c r="T74" s="1081"/>
      <c r="U74" s="482"/>
      <c r="V74" s="1081"/>
      <c r="W74" s="1081"/>
      <c r="X74" s="1081"/>
      <c r="Y74" s="1081"/>
      <c r="Z74" s="1081"/>
      <c r="AA74" s="1553"/>
      <c r="AB74" s="504"/>
      <c r="AC74" s="504"/>
      <c r="AD74" s="504"/>
      <c r="AE74" s="504"/>
      <c r="AF74" s="1562">
        <v>11</v>
      </c>
    </row>
    <row r="75" spans="1:32" s="4299" customFormat="1" ht="11.45" customHeight="1">
      <c r="A75" s="913"/>
      <c r="B75" s="1557"/>
      <c r="C75" s="1557"/>
      <c r="D75" s="289"/>
      <c r="K75" s="1081"/>
      <c r="L75" s="1557"/>
      <c r="M75" s="1557"/>
      <c r="N75" s="1081"/>
      <c r="O75" s="1081"/>
      <c r="P75" s="1081"/>
      <c r="Q75" s="1081"/>
      <c r="R75" s="1557"/>
      <c r="S75" s="1081"/>
      <c r="T75" s="1081"/>
      <c r="U75" s="482"/>
      <c r="V75" s="1081"/>
      <c r="W75" s="1081"/>
      <c r="X75" s="1081"/>
      <c r="Y75" s="1081"/>
      <c r="Z75" s="1081"/>
      <c r="AA75" s="1553"/>
      <c r="AB75" s="504"/>
      <c r="AC75" s="504"/>
      <c r="AD75" s="504"/>
      <c r="AE75" s="504"/>
      <c r="AF75" s="1562">
        <v>11</v>
      </c>
    </row>
    <row r="76" spans="1:32" s="4299" customFormat="1" ht="11.45" customHeight="1">
      <c r="A76" s="913"/>
      <c r="B76" s="1557"/>
      <c r="C76" s="1557"/>
      <c r="D76" s="289"/>
      <c r="K76" s="1081"/>
      <c r="L76" s="1557"/>
      <c r="M76" s="1557"/>
      <c r="N76" s="1081"/>
      <c r="O76" s="1081"/>
      <c r="P76" s="1081"/>
      <c r="Q76" s="1081"/>
      <c r="R76" s="1557"/>
      <c r="S76" s="1081"/>
      <c r="T76" s="1081"/>
      <c r="U76" s="482"/>
      <c r="V76" s="1081"/>
      <c r="W76" s="1081"/>
      <c r="X76" s="1081"/>
      <c r="Y76" s="1081"/>
      <c r="Z76" s="1081"/>
      <c r="AA76" s="1553"/>
      <c r="AB76" s="504"/>
      <c r="AC76" s="504"/>
      <c r="AD76" s="504"/>
      <c r="AE76" s="504"/>
      <c r="AF76" s="1562">
        <v>11</v>
      </c>
    </row>
    <row r="77" spans="1:32" s="4299" customFormat="1" ht="11.45" customHeight="1">
      <c r="A77" s="913"/>
      <c r="B77" s="1557"/>
      <c r="C77" s="1557"/>
      <c r="D77" s="289"/>
      <c r="K77" s="1081"/>
      <c r="L77" s="1557"/>
      <c r="M77" s="1557"/>
      <c r="N77" s="1081"/>
      <c r="O77" s="1081"/>
      <c r="P77" s="1081"/>
      <c r="Q77" s="1081"/>
      <c r="R77" s="1557"/>
      <c r="S77" s="1081"/>
      <c r="T77" s="1081"/>
      <c r="U77" s="482"/>
      <c r="V77" s="1081"/>
      <c r="W77" s="1081"/>
      <c r="X77" s="1081"/>
      <c r="Y77" s="1081"/>
      <c r="Z77" s="1081"/>
      <c r="AA77" s="1553"/>
      <c r="AB77" s="504"/>
      <c r="AC77" s="504"/>
      <c r="AD77" s="504"/>
      <c r="AE77" s="504"/>
      <c r="AF77" s="1562">
        <v>11</v>
      </c>
    </row>
    <row r="78" spans="1:32" s="4299" customFormat="1" ht="11.45" customHeight="1">
      <c r="A78" s="913"/>
      <c r="B78" s="1557"/>
      <c r="C78" s="1557"/>
      <c r="D78" s="289"/>
      <c r="K78" s="1081"/>
      <c r="L78" s="1557"/>
      <c r="M78" s="1557"/>
      <c r="N78" s="1081"/>
      <c r="O78" s="1081"/>
      <c r="P78" s="1081"/>
      <c r="Q78" s="1081"/>
      <c r="R78" s="1557"/>
      <c r="S78" s="1081"/>
      <c r="T78" s="1081"/>
      <c r="U78" s="482"/>
      <c r="V78" s="1081"/>
      <c r="W78" s="1081"/>
      <c r="X78" s="1081"/>
      <c r="Y78" s="1081"/>
      <c r="Z78" s="1081"/>
      <c r="AA78" s="1553"/>
      <c r="AB78" s="504"/>
      <c r="AC78" s="504"/>
      <c r="AD78" s="504"/>
      <c r="AE78" s="504"/>
      <c r="AF78" s="1562">
        <v>11</v>
      </c>
    </row>
    <row r="79" spans="1:32" s="4299" customFormat="1" ht="11.45" customHeight="1">
      <c r="A79" s="913"/>
      <c r="B79" s="1557"/>
      <c r="C79" s="1557"/>
      <c r="D79" s="289"/>
      <c r="K79" s="1081"/>
      <c r="L79" s="1557"/>
      <c r="M79" s="1557"/>
      <c r="N79" s="1081"/>
      <c r="O79" s="1081"/>
      <c r="P79" s="1081"/>
      <c r="Q79" s="1081"/>
      <c r="R79" s="1557"/>
      <c r="S79" s="1081"/>
      <c r="T79" s="1081"/>
      <c r="U79" s="482"/>
      <c r="V79" s="1081"/>
      <c r="W79" s="1081"/>
      <c r="X79" s="1081"/>
      <c r="Y79" s="1081"/>
      <c r="Z79" s="1081"/>
      <c r="AA79" s="1553"/>
      <c r="AB79" s="504"/>
      <c r="AC79" s="504"/>
      <c r="AD79" s="504"/>
      <c r="AE79" s="504"/>
      <c r="AF79" s="1562">
        <v>11</v>
      </c>
    </row>
    <row r="80" spans="1:32" s="4299" customFormat="1" ht="11.45" customHeight="1">
      <c r="A80" s="913"/>
      <c r="B80" s="1557"/>
      <c r="C80" s="1557"/>
      <c r="D80" s="289"/>
      <c r="K80" s="1081"/>
      <c r="L80" s="1557"/>
      <c r="M80" s="1557"/>
      <c r="N80" s="1081"/>
      <c r="O80" s="1081"/>
      <c r="P80" s="1081"/>
      <c r="Q80" s="1081"/>
      <c r="R80" s="1557"/>
      <c r="S80" s="1081"/>
      <c r="T80" s="1081"/>
      <c r="U80" s="482"/>
      <c r="V80" s="1081"/>
      <c r="W80" s="1081"/>
      <c r="X80" s="1081"/>
      <c r="Y80" s="1081"/>
      <c r="Z80" s="1081"/>
      <c r="AA80" s="1553"/>
      <c r="AB80" s="504"/>
      <c r="AC80" s="504"/>
      <c r="AD80" s="504"/>
      <c r="AE80" s="504"/>
      <c r="AF80" s="1562">
        <v>11</v>
      </c>
    </row>
    <row r="81" spans="1:32" s="4299" customFormat="1" ht="11.45" customHeight="1">
      <c r="A81" s="913"/>
      <c r="B81" s="1557"/>
      <c r="C81" s="1557"/>
      <c r="D81" s="289"/>
      <c r="K81" s="1081"/>
      <c r="L81" s="1557"/>
      <c r="M81" s="1557"/>
      <c r="N81" s="1081"/>
      <c r="O81" s="1081"/>
      <c r="P81" s="1081"/>
      <c r="Q81" s="1081"/>
      <c r="R81" s="1557"/>
      <c r="S81" s="1081"/>
      <c r="T81" s="1081"/>
      <c r="U81" s="482"/>
      <c r="V81" s="1081"/>
      <c r="W81" s="1081"/>
      <c r="X81" s="1081"/>
      <c r="Y81" s="1081"/>
      <c r="Z81" s="1081"/>
      <c r="AA81" s="1553"/>
      <c r="AB81" s="504"/>
      <c r="AC81" s="504"/>
      <c r="AD81" s="504"/>
      <c r="AE81" s="504"/>
      <c r="AF81" s="1562">
        <v>11</v>
      </c>
    </row>
    <row r="82" spans="1:32" s="4299" customFormat="1" ht="11.45" customHeight="1">
      <c r="A82" s="913"/>
      <c r="B82" s="1557"/>
      <c r="C82" s="1557"/>
      <c r="D82" s="289"/>
      <c r="K82" s="1081"/>
      <c r="L82" s="1557"/>
      <c r="M82" s="1557"/>
      <c r="N82" s="1081"/>
      <c r="O82" s="1081"/>
      <c r="P82" s="1081"/>
      <c r="Q82" s="1081"/>
      <c r="R82" s="1557"/>
      <c r="S82" s="1081"/>
      <c r="T82" s="1081"/>
      <c r="U82" s="482"/>
      <c r="V82" s="1081"/>
      <c r="W82" s="1081"/>
      <c r="X82" s="1081"/>
      <c r="Y82" s="1081"/>
      <c r="Z82" s="1081"/>
      <c r="AA82" s="1553"/>
      <c r="AB82" s="504"/>
      <c r="AC82" s="504"/>
      <c r="AD82" s="504"/>
      <c r="AE82" s="504"/>
      <c r="AF82" s="1562">
        <v>11</v>
      </c>
    </row>
    <row r="83" spans="1:32" s="4299" customFormat="1" ht="11.45" customHeight="1">
      <c r="A83" s="913"/>
      <c r="B83" s="1557"/>
      <c r="C83" s="1557"/>
      <c r="D83" s="289"/>
      <c r="K83" s="1081"/>
      <c r="L83" s="1557"/>
      <c r="M83" s="1557"/>
      <c r="N83" s="1081"/>
      <c r="O83" s="1081"/>
      <c r="P83" s="1081"/>
      <c r="Q83" s="1081"/>
      <c r="R83" s="1557"/>
      <c r="S83" s="1081"/>
      <c r="T83" s="1081"/>
      <c r="U83" s="482"/>
      <c r="V83" s="1081"/>
      <c r="W83" s="1081"/>
      <c r="X83" s="1081"/>
      <c r="Y83" s="1081"/>
      <c r="Z83" s="1081"/>
      <c r="AA83" s="1553"/>
      <c r="AB83" s="504"/>
      <c r="AC83" s="504"/>
      <c r="AD83" s="504"/>
      <c r="AE83" s="504"/>
      <c r="AF83" s="1562">
        <v>11</v>
      </c>
    </row>
    <row r="84" spans="1:32" s="4299" customFormat="1" ht="11.45" customHeight="1">
      <c r="A84" s="913"/>
      <c r="B84" s="1557"/>
      <c r="C84" s="1557"/>
      <c r="D84" s="289"/>
      <c r="K84" s="1081"/>
      <c r="L84" s="1557"/>
      <c r="M84" s="1557"/>
      <c r="N84" s="1081"/>
      <c r="O84" s="1081"/>
      <c r="P84" s="1081"/>
      <c r="Q84" s="1081"/>
      <c r="R84" s="1557"/>
      <c r="S84" s="1081"/>
      <c r="T84" s="1081"/>
      <c r="U84" s="482"/>
      <c r="V84" s="1081"/>
      <c r="W84" s="1081"/>
      <c r="X84" s="1081"/>
      <c r="Y84" s="1081"/>
      <c r="Z84" s="1081"/>
      <c r="AA84" s="1553"/>
      <c r="AB84" s="504"/>
      <c r="AC84" s="504"/>
      <c r="AD84" s="504"/>
      <c r="AE84" s="504"/>
      <c r="AF84" s="1562">
        <v>11</v>
      </c>
    </row>
    <row r="85" spans="1:32" s="4299" customFormat="1" ht="11.45" customHeight="1">
      <c r="A85" s="913"/>
      <c r="B85" s="1557"/>
      <c r="C85" s="1557"/>
      <c r="D85" s="289"/>
      <c r="K85" s="1081"/>
      <c r="L85" s="1557"/>
      <c r="M85" s="1557"/>
      <c r="N85" s="1081"/>
      <c r="O85" s="1081"/>
      <c r="P85" s="1081"/>
      <c r="Q85" s="1081"/>
      <c r="R85" s="1557"/>
      <c r="S85" s="1081"/>
      <c r="T85" s="1081"/>
      <c r="U85" s="482"/>
      <c r="V85" s="1081"/>
      <c r="W85" s="1081"/>
      <c r="X85" s="1081"/>
      <c r="Y85" s="1081"/>
      <c r="Z85" s="1081"/>
      <c r="AA85" s="1553"/>
      <c r="AB85" s="504"/>
      <c r="AC85" s="504"/>
      <c r="AD85" s="504"/>
      <c r="AE85" s="504"/>
      <c r="AF85" s="1562">
        <v>11</v>
      </c>
    </row>
    <row r="86" spans="1:32" s="4299" customFormat="1" ht="11.45" customHeight="1">
      <c r="A86" s="913"/>
      <c r="B86" s="1557"/>
      <c r="C86" s="1557"/>
      <c r="D86" s="289"/>
      <c r="K86" s="1081"/>
      <c r="L86" s="1557"/>
      <c r="M86" s="1557"/>
      <c r="N86" s="1081"/>
      <c r="O86" s="1081"/>
      <c r="P86" s="1081"/>
      <c r="Q86" s="1081"/>
      <c r="R86" s="1557"/>
      <c r="S86" s="1081"/>
      <c r="T86" s="1081"/>
      <c r="U86" s="482"/>
      <c r="V86" s="1081"/>
      <c r="W86" s="1081"/>
      <c r="X86" s="1081"/>
      <c r="Y86" s="1081"/>
      <c r="Z86" s="1081"/>
      <c r="AA86" s="1553"/>
      <c r="AB86" s="504"/>
      <c r="AC86" s="504"/>
      <c r="AD86" s="504"/>
      <c r="AE86" s="504"/>
      <c r="AF86" s="1562">
        <v>11</v>
      </c>
    </row>
    <row r="87" spans="1:32" s="4299" customFormat="1" ht="11.45" customHeight="1">
      <c r="A87" s="913"/>
      <c r="B87" s="1557"/>
      <c r="C87" s="1557"/>
      <c r="D87" s="289"/>
      <c r="K87" s="1081"/>
      <c r="L87" s="1557"/>
      <c r="M87" s="1557"/>
      <c r="N87" s="1081"/>
      <c r="O87" s="1081"/>
      <c r="P87" s="1081"/>
      <c r="Q87" s="1081"/>
      <c r="R87" s="1557"/>
      <c r="S87" s="1081"/>
      <c r="T87" s="1081"/>
      <c r="U87" s="482"/>
      <c r="V87" s="1081"/>
      <c r="W87" s="1081"/>
      <c r="X87" s="1081"/>
      <c r="Y87" s="1081"/>
      <c r="Z87" s="1081"/>
      <c r="AA87" s="1553"/>
      <c r="AB87" s="504"/>
      <c r="AC87" s="504"/>
      <c r="AD87" s="504"/>
      <c r="AE87" s="504"/>
      <c r="AF87" s="1562">
        <v>11</v>
      </c>
    </row>
    <row r="88" spans="1:32" s="4299" customFormat="1" ht="11.45" customHeight="1">
      <c r="A88" s="913"/>
      <c r="B88" s="1557"/>
      <c r="C88" s="1557"/>
      <c r="D88" s="289"/>
      <c r="K88" s="1081"/>
      <c r="L88" s="1557"/>
      <c r="M88" s="1557"/>
      <c r="N88" s="1081"/>
      <c r="O88" s="1081"/>
      <c r="P88" s="1081"/>
      <c r="Q88" s="1081"/>
      <c r="R88" s="1557"/>
      <c r="S88" s="1081"/>
      <c r="T88" s="1081"/>
      <c r="U88" s="482"/>
      <c r="V88" s="1081"/>
      <c r="W88" s="1081"/>
      <c r="X88" s="1081"/>
      <c r="Y88" s="1081"/>
      <c r="Z88" s="1081"/>
      <c r="AA88" s="1553"/>
      <c r="AB88" s="504"/>
      <c r="AC88" s="504"/>
      <c r="AD88" s="504"/>
      <c r="AE88" s="504"/>
      <c r="AF88" s="1562">
        <v>11</v>
      </c>
    </row>
    <row r="89" spans="1:32" s="4299" customFormat="1" ht="11.45" customHeight="1">
      <c r="A89" s="913"/>
      <c r="B89" s="1557"/>
      <c r="C89" s="1557"/>
      <c r="D89" s="289"/>
      <c r="K89" s="1081"/>
      <c r="L89" s="1557"/>
      <c r="M89" s="1557"/>
      <c r="N89" s="1081"/>
      <c r="O89" s="1081"/>
      <c r="P89" s="1081"/>
      <c r="Q89" s="1081"/>
      <c r="R89" s="1557"/>
      <c r="S89" s="1081"/>
      <c r="T89" s="1081"/>
      <c r="U89" s="482"/>
      <c r="V89" s="1081"/>
      <c r="W89" s="1081"/>
      <c r="X89" s="1081"/>
      <c r="Y89" s="1081"/>
      <c r="Z89" s="1081"/>
      <c r="AA89" s="1553"/>
      <c r="AB89" s="504"/>
      <c r="AC89" s="504"/>
      <c r="AD89" s="504"/>
      <c r="AE89" s="504"/>
      <c r="AF89" s="1562">
        <v>11</v>
      </c>
    </row>
    <row r="90" spans="1:32" s="4299" customFormat="1" ht="11.45" customHeight="1">
      <c r="A90" s="913"/>
      <c r="B90" s="1557"/>
      <c r="C90" s="1557"/>
      <c r="D90" s="289"/>
      <c r="K90" s="1081"/>
      <c r="L90" s="1557"/>
      <c r="M90" s="1557"/>
      <c r="N90" s="1081"/>
      <c r="O90" s="1081"/>
      <c r="P90" s="1081"/>
      <c r="Q90" s="1081"/>
      <c r="R90" s="1557"/>
      <c r="S90" s="1081"/>
      <c r="T90" s="1081"/>
      <c r="U90" s="482"/>
      <c r="V90" s="1081"/>
      <c r="W90" s="1081"/>
      <c r="X90" s="1081"/>
      <c r="Y90" s="1081"/>
      <c r="Z90" s="1081"/>
      <c r="AA90" s="1553"/>
      <c r="AB90" s="504"/>
      <c r="AC90" s="504"/>
      <c r="AD90" s="504"/>
      <c r="AE90" s="504"/>
      <c r="AF90" s="1562">
        <v>11</v>
      </c>
    </row>
    <row r="91" spans="1:32" s="4299" customFormat="1" ht="11.45" customHeight="1">
      <c r="A91" s="913"/>
      <c r="B91" s="1557"/>
      <c r="C91" s="1557"/>
      <c r="D91" s="289"/>
      <c r="K91" s="1081"/>
      <c r="L91" s="1557"/>
      <c r="M91" s="1557"/>
      <c r="N91" s="1081"/>
      <c r="O91" s="1081"/>
      <c r="P91" s="1081"/>
      <c r="Q91" s="1081"/>
      <c r="R91" s="1557"/>
      <c r="S91" s="1081"/>
      <c r="T91" s="1081"/>
      <c r="U91" s="482"/>
      <c r="V91" s="1081"/>
      <c r="W91" s="1081"/>
      <c r="X91" s="1081"/>
      <c r="Y91" s="1081"/>
      <c r="Z91" s="1081"/>
      <c r="AA91" s="1553"/>
      <c r="AB91" s="504"/>
      <c r="AC91" s="504"/>
      <c r="AD91" s="504"/>
      <c r="AE91" s="504"/>
      <c r="AF91" s="1562">
        <v>11</v>
      </c>
    </row>
    <row r="92" spans="1:32" s="4299" customFormat="1" ht="11.45" customHeight="1">
      <c r="A92" s="913"/>
      <c r="B92" s="1557"/>
      <c r="C92" s="1557"/>
      <c r="D92" s="289"/>
      <c r="K92" s="1081"/>
      <c r="L92" s="1557"/>
      <c r="M92" s="1557"/>
      <c r="N92" s="1081"/>
      <c r="O92" s="1081"/>
      <c r="P92" s="1081"/>
      <c r="Q92" s="1081"/>
      <c r="R92" s="1557"/>
      <c r="S92" s="1081"/>
      <c r="T92" s="1081"/>
      <c r="U92" s="482"/>
      <c r="V92" s="1081"/>
      <c r="W92" s="1081"/>
      <c r="X92" s="1081"/>
      <c r="Y92" s="1081"/>
      <c r="Z92" s="1081"/>
      <c r="AA92" s="1553"/>
      <c r="AB92" s="504"/>
      <c r="AC92" s="504"/>
      <c r="AD92" s="504"/>
      <c r="AE92" s="504"/>
      <c r="AF92" s="1562">
        <v>11</v>
      </c>
    </row>
    <row r="93" spans="1:32" s="4299" customFormat="1" ht="11.45" customHeight="1">
      <c r="A93" s="913"/>
      <c r="B93" s="1557"/>
      <c r="C93" s="1557"/>
      <c r="D93" s="289"/>
      <c r="K93" s="1081"/>
      <c r="L93" s="1557"/>
      <c r="M93" s="1557"/>
      <c r="N93" s="1081"/>
      <c r="O93" s="1081"/>
      <c r="P93" s="1081"/>
      <c r="Q93" s="1081"/>
      <c r="R93" s="1557"/>
      <c r="S93" s="1081"/>
      <c r="T93" s="1081"/>
      <c r="U93" s="482"/>
      <c r="V93" s="1081"/>
      <c r="W93" s="1081"/>
      <c r="X93" s="1081"/>
      <c r="Y93" s="1081"/>
      <c r="Z93" s="1081"/>
      <c r="AA93" s="1553"/>
      <c r="AB93" s="504"/>
      <c r="AC93" s="504"/>
      <c r="AD93" s="504"/>
      <c r="AE93" s="504"/>
      <c r="AF93" s="1562">
        <v>11</v>
      </c>
    </row>
    <row r="94" spans="1:32" s="4299" customFormat="1" ht="11.45" customHeight="1">
      <c r="A94" s="913"/>
      <c r="B94" s="1557"/>
      <c r="C94" s="1557"/>
      <c r="D94" s="289"/>
      <c r="K94" s="1081"/>
      <c r="L94" s="1557"/>
      <c r="M94" s="1557"/>
      <c r="N94" s="1081"/>
      <c r="O94" s="1081"/>
      <c r="P94" s="1081"/>
      <c r="Q94" s="1081"/>
      <c r="R94" s="1557"/>
      <c r="S94" s="1081"/>
      <c r="T94" s="1081"/>
      <c r="U94" s="482"/>
      <c r="V94" s="1081"/>
      <c r="W94" s="1081"/>
      <c r="X94" s="1081"/>
      <c r="Y94" s="1081"/>
      <c r="Z94" s="1081"/>
      <c r="AA94" s="1553"/>
      <c r="AB94" s="504"/>
      <c r="AC94" s="504"/>
      <c r="AD94" s="504"/>
      <c r="AE94" s="504"/>
      <c r="AF94" s="1562">
        <v>11</v>
      </c>
    </row>
    <row r="95" spans="1:32" s="4299" customFormat="1" ht="11.45" customHeight="1">
      <c r="A95" s="913"/>
      <c r="B95" s="1557"/>
      <c r="C95" s="1557"/>
      <c r="D95" s="289"/>
      <c r="K95" s="1081"/>
      <c r="L95" s="1557"/>
      <c r="M95" s="1557"/>
      <c r="N95" s="1081"/>
      <c r="O95" s="1081"/>
      <c r="P95" s="1081"/>
      <c r="Q95" s="1081"/>
      <c r="R95" s="1557"/>
      <c r="S95" s="1081"/>
      <c r="T95" s="1081"/>
      <c r="U95" s="482"/>
      <c r="V95" s="1081"/>
      <c r="W95" s="1081"/>
      <c r="X95" s="1081"/>
      <c r="Y95" s="1081"/>
      <c r="Z95" s="1081"/>
      <c r="AA95" s="1553"/>
      <c r="AB95" s="504"/>
      <c r="AC95" s="504"/>
      <c r="AD95" s="504"/>
      <c r="AE95" s="504"/>
      <c r="AF95" s="1562">
        <v>11</v>
      </c>
    </row>
    <row r="96" spans="1:32" s="4299" customFormat="1" ht="11.45" customHeight="1">
      <c r="A96" s="913"/>
      <c r="B96" s="1557"/>
      <c r="C96" s="1557"/>
      <c r="D96" s="289"/>
      <c r="K96" s="1081"/>
      <c r="L96" s="1557"/>
      <c r="M96" s="1557"/>
      <c r="N96" s="1081"/>
      <c r="O96" s="1081"/>
      <c r="P96" s="1081"/>
      <c r="Q96" s="1081"/>
      <c r="R96" s="1557"/>
      <c r="S96" s="1081"/>
      <c r="T96" s="1081"/>
      <c r="U96" s="482"/>
      <c r="V96" s="1081"/>
      <c r="W96" s="1081"/>
      <c r="X96" s="1081"/>
      <c r="Y96" s="1081"/>
      <c r="Z96" s="1081"/>
      <c r="AA96" s="1553"/>
      <c r="AB96" s="504"/>
      <c r="AC96" s="504"/>
      <c r="AD96" s="504"/>
      <c r="AE96" s="504"/>
      <c r="AF96" s="1562">
        <v>11</v>
      </c>
    </row>
    <row r="97" spans="1:32" s="4299" customFormat="1" ht="11.45" customHeight="1">
      <c r="A97" s="913"/>
      <c r="B97" s="1557"/>
      <c r="C97" s="1557"/>
      <c r="D97" s="289"/>
      <c r="K97" s="1081"/>
      <c r="L97" s="1557"/>
      <c r="M97" s="1557"/>
      <c r="N97" s="1081"/>
      <c r="O97" s="1081"/>
      <c r="P97" s="1081"/>
      <c r="Q97" s="1081"/>
      <c r="R97" s="1557"/>
      <c r="S97" s="1081"/>
      <c r="T97" s="1081"/>
      <c r="U97" s="482"/>
      <c r="V97" s="1081"/>
      <c r="W97" s="1081"/>
      <c r="X97" s="1081"/>
      <c r="Y97" s="1081"/>
      <c r="Z97" s="1081"/>
      <c r="AA97" s="1553"/>
      <c r="AB97" s="504"/>
      <c r="AC97" s="504"/>
      <c r="AD97" s="504"/>
      <c r="AE97" s="504"/>
      <c r="AF97" s="1562">
        <v>11</v>
      </c>
    </row>
    <row r="98" spans="1:32" s="4299" customFormat="1" ht="11.45" customHeight="1">
      <c r="A98" s="913"/>
      <c r="B98" s="1557"/>
      <c r="C98" s="1557"/>
      <c r="D98" s="289"/>
      <c r="K98" s="1081"/>
      <c r="L98" s="1557"/>
      <c r="M98" s="1557"/>
      <c r="N98" s="1081"/>
      <c r="O98" s="1081"/>
      <c r="P98" s="1081"/>
      <c r="Q98" s="1081"/>
      <c r="R98" s="1557"/>
      <c r="S98" s="1081"/>
      <c r="T98" s="1081"/>
      <c r="U98" s="482"/>
      <c r="V98" s="1081"/>
      <c r="W98" s="1081"/>
      <c r="X98" s="1081"/>
      <c r="Y98" s="1081"/>
      <c r="Z98" s="1081"/>
      <c r="AA98" s="1553"/>
      <c r="AB98" s="504"/>
      <c r="AC98" s="504"/>
      <c r="AD98" s="504"/>
      <c r="AE98" s="504"/>
      <c r="AF98" s="1562">
        <v>11</v>
      </c>
    </row>
    <row r="99" spans="1:32" s="4299" customFormat="1" ht="11.45" customHeight="1">
      <c r="A99" s="913"/>
      <c r="B99" s="1557"/>
      <c r="C99" s="1557"/>
      <c r="D99" s="289"/>
      <c r="K99" s="1081"/>
      <c r="L99" s="1557"/>
      <c r="M99" s="1557"/>
      <c r="N99" s="1081"/>
      <c r="O99" s="1081"/>
      <c r="P99" s="1081"/>
      <c r="Q99" s="1081"/>
      <c r="R99" s="1557"/>
      <c r="S99" s="1081"/>
      <c r="T99" s="1081"/>
      <c r="U99" s="482"/>
      <c r="V99" s="1081"/>
      <c r="W99" s="1081"/>
      <c r="X99" s="1081"/>
      <c r="Y99" s="1081"/>
      <c r="Z99" s="1081"/>
      <c r="AA99" s="1553"/>
      <c r="AB99" s="504"/>
      <c r="AC99" s="504"/>
      <c r="AD99" s="504"/>
      <c r="AE99" s="504"/>
      <c r="AF99" s="1562">
        <v>11</v>
      </c>
    </row>
    <row r="100" spans="1:32" s="4299" customFormat="1" ht="11.45" customHeight="1">
      <c r="A100" s="913"/>
      <c r="B100" s="1557"/>
      <c r="C100" s="1557"/>
      <c r="D100" s="289"/>
      <c r="K100" s="1081"/>
      <c r="L100" s="1557"/>
      <c r="M100" s="1557"/>
      <c r="N100" s="1081"/>
      <c r="O100" s="1081"/>
      <c r="P100" s="1081"/>
      <c r="Q100" s="1081"/>
      <c r="R100" s="1557"/>
      <c r="S100" s="1081"/>
      <c r="T100" s="1081"/>
      <c r="U100" s="482"/>
      <c r="V100" s="1081"/>
      <c r="W100" s="1081"/>
      <c r="X100" s="1081"/>
      <c r="Y100" s="1081"/>
      <c r="Z100" s="1081"/>
      <c r="AA100" s="1553"/>
      <c r="AB100" s="504"/>
      <c r="AC100" s="504"/>
      <c r="AD100" s="504"/>
      <c r="AE100" s="504"/>
      <c r="AF100" s="1562">
        <v>11</v>
      </c>
    </row>
    <row r="101" spans="1:32" s="4299" customFormat="1" ht="11.45" customHeight="1">
      <c r="A101" s="913"/>
      <c r="B101" s="1557"/>
      <c r="C101" s="1557"/>
      <c r="D101" s="289"/>
      <c r="K101" s="1081"/>
      <c r="L101" s="1557"/>
      <c r="M101" s="1557"/>
      <c r="N101" s="1081"/>
      <c r="O101" s="1081"/>
      <c r="P101" s="1081"/>
      <c r="Q101" s="1081"/>
      <c r="R101" s="1557"/>
      <c r="S101" s="1081"/>
      <c r="T101" s="1081"/>
      <c r="U101" s="482"/>
      <c r="V101" s="1081"/>
      <c r="W101" s="1081"/>
      <c r="X101" s="1081"/>
      <c r="Y101" s="1081"/>
      <c r="Z101" s="1081"/>
      <c r="AA101" s="1553"/>
      <c r="AB101" s="504"/>
      <c r="AC101" s="504"/>
      <c r="AD101" s="504"/>
      <c r="AE101" s="504"/>
      <c r="AF101" s="1562">
        <v>11</v>
      </c>
    </row>
    <row r="102" spans="1:32" s="4299" customFormat="1" ht="11.45" customHeight="1">
      <c r="A102" s="913"/>
      <c r="B102" s="1557"/>
      <c r="C102" s="1557"/>
      <c r="D102" s="289"/>
      <c r="K102" s="1081"/>
      <c r="L102" s="1557"/>
      <c r="M102" s="1557"/>
      <c r="N102" s="1081"/>
      <c r="O102" s="1081"/>
      <c r="P102" s="1081"/>
      <c r="Q102" s="1081"/>
      <c r="R102" s="1557"/>
      <c r="S102" s="1081"/>
      <c r="T102" s="1081"/>
      <c r="U102" s="482"/>
      <c r="V102" s="1081"/>
      <c r="W102" s="1081"/>
      <c r="X102" s="1081"/>
      <c r="Y102" s="1081"/>
      <c r="Z102" s="1081"/>
      <c r="AA102" s="1553"/>
      <c r="AB102" s="504"/>
      <c r="AC102" s="504"/>
      <c r="AD102" s="504"/>
      <c r="AE102" s="504"/>
      <c r="AF102" s="1562">
        <v>11</v>
      </c>
    </row>
    <row r="103" spans="1:32" s="4299" customFormat="1" ht="11.45" customHeight="1">
      <c r="A103" s="913"/>
      <c r="B103" s="1557"/>
      <c r="C103" s="1557"/>
      <c r="D103" s="289"/>
      <c r="K103" s="1081"/>
      <c r="L103" s="1557"/>
      <c r="M103" s="1557"/>
      <c r="N103" s="1081"/>
      <c r="O103" s="1081"/>
      <c r="P103" s="1081"/>
      <c r="Q103" s="1081"/>
      <c r="R103" s="1557"/>
      <c r="S103" s="1081"/>
      <c r="T103" s="1081"/>
      <c r="U103" s="482"/>
      <c r="V103" s="1081"/>
      <c r="W103" s="1081"/>
      <c r="X103" s="1081"/>
      <c r="Y103" s="1081"/>
      <c r="Z103" s="1081"/>
      <c r="AA103" s="1553"/>
      <c r="AB103" s="504"/>
      <c r="AC103" s="504"/>
      <c r="AD103" s="504"/>
      <c r="AE103" s="504"/>
      <c r="AF103" s="1562">
        <v>11</v>
      </c>
    </row>
    <row r="104" spans="1:32" s="4299" customFormat="1" ht="11.45" customHeight="1">
      <c r="A104" s="913"/>
      <c r="B104" s="1557"/>
      <c r="C104" s="1557"/>
      <c r="D104" s="289"/>
      <c r="K104" s="1081"/>
      <c r="L104" s="1557"/>
      <c r="M104" s="1557"/>
      <c r="N104" s="1081"/>
      <c r="O104" s="1081"/>
      <c r="P104" s="1081"/>
      <c r="Q104" s="1081"/>
      <c r="R104" s="1557"/>
      <c r="S104" s="1081"/>
      <c r="T104" s="1081"/>
      <c r="U104" s="482"/>
      <c r="V104" s="1081"/>
      <c r="W104" s="1081"/>
      <c r="X104" s="1081"/>
      <c r="Y104" s="1081"/>
      <c r="Z104" s="1081"/>
      <c r="AA104" s="1553"/>
      <c r="AB104" s="504"/>
      <c r="AC104" s="504"/>
      <c r="AD104" s="504"/>
      <c r="AE104" s="504"/>
      <c r="AF104" s="1562">
        <v>11</v>
      </c>
    </row>
    <row r="105" spans="1:32" s="4299" customFormat="1" ht="11.45" customHeight="1">
      <c r="A105" s="913"/>
      <c r="B105" s="1557"/>
      <c r="C105" s="1557"/>
      <c r="D105" s="289"/>
      <c r="K105" s="1081"/>
      <c r="L105" s="1557"/>
      <c r="M105" s="1557"/>
      <c r="N105" s="1081"/>
      <c r="O105" s="1081"/>
      <c r="P105" s="1081"/>
      <c r="Q105" s="1081"/>
      <c r="R105" s="1557"/>
      <c r="S105" s="1081"/>
      <c r="T105" s="1081"/>
      <c r="U105" s="482"/>
      <c r="V105" s="1081"/>
      <c r="W105" s="1081"/>
      <c r="X105" s="1081"/>
      <c r="Y105" s="1081"/>
      <c r="Z105" s="1081"/>
      <c r="AA105" s="1553"/>
      <c r="AB105" s="504"/>
      <c r="AC105" s="504"/>
      <c r="AD105" s="504"/>
      <c r="AE105" s="504"/>
      <c r="AF105" s="1562">
        <v>11</v>
      </c>
    </row>
    <row r="106" spans="1:32" s="4299" customFormat="1" ht="11.45" customHeight="1">
      <c r="A106" s="913"/>
      <c r="B106" s="1557"/>
      <c r="C106" s="1557"/>
      <c r="D106" s="289"/>
      <c r="K106" s="1081"/>
      <c r="L106" s="1557"/>
      <c r="M106" s="1557"/>
      <c r="N106" s="1081"/>
      <c r="O106" s="1081"/>
      <c r="P106" s="1081"/>
      <c r="Q106" s="1081"/>
      <c r="R106" s="1557"/>
      <c r="S106" s="1081"/>
      <c r="T106" s="1081"/>
      <c r="U106" s="482"/>
      <c r="V106" s="1081"/>
      <c r="W106" s="1081"/>
      <c r="X106" s="1081"/>
      <c r="Y106" s="1081"/>
      <c r="Z106" s="1081"/>
      <c r="AA106" s="1553"/>
      <c r="AB106" s="504"/>
      <c r="AC106" s="504"/>
      <c r="AD106" s="504"/>
      <c r="AE106" s="504"/>
      <c r="AF106" s="1562">
        <v>11</v>
      </c>
    </row>
    <row r="107" spans="1:32" s="4299" customFormat="1" ht="11.45" customHeight="1">
      <c r="A107" s="913"/>
      <c r="B107" s="1557"/>
      <c r="C107" s="1557"/>
      <c r="D107" s="289"/>
      <c r="K107" s="1081"/>
      <c r="L107" s="1557"/>
      <c r="M107" s="1557"/>
      <c r="N107" s="1081"/>
      <c r="O107" s="1081"/>
      <c r="P107" s="1081"/>
      <c r="Q107" s="1081"/>
      <c r="R107" s="1557"/>
      <c r="S107" s="1081"/>
      <c r="T107" s="1081"/>
      <c r="U107" s="482"/>
      <c r="V107" s="1081"/>
      <c r="W107" s="1081"/>
      <c r="X107" s="1081"/>
      <c r="Y107" s="1081"/>
      <c r="Z107" s="1081"/>
      <c r="AA107" s="1553"/>
      <c r="AB107" s="504"/>
      <c r="AC107" s="504"/>
      <c r="AD107" s="504"/>
      <c r="AE107" s="504"/>
      <c r="AF107" s="1562">
        <v>11</v>
      </c>
    </row>
    <row r="108" spans="1:32" s="4299" customFormat="1" ht="11.45" customHeight="1">
      <c r="A108" s="913"/>
      <c r="B108" s="1557"/>
      <c r="C108" s="1557"/>
      <c r="D108" s="289"/>
      <c r="K108" s="1081"/>
      <c r="L108" s="1557"/>
      <c r="M108" s="1557"/>
      <c r="N108" s="1081"/>
      <c r="O108" s="1081"/>
      <c r="P108" s="1081"/>
      <c r="Q108" s="1081"/>
      <c r="R108" s="1557"/>
      <c r="S108" s="1081"/>
      <c r="T108" s="1081"/>
      <c r="U108" s="482"/>
      <c r="V108" s="1081"/>
      <c r="W108" s="1081"/>
      <c r="X108" s="1081"/>
      <c r="Y108" s="1081"/>
      <c r="Z108" s="1081"/>
      <c r="AA108" s="1553"/>
      <c r="AB108" s="504"/>
      <c r="AC108" s="504"/>
      <c r="AD108" s="504"/>
      <c r="AE108" s="504"/>
      <c r="AF108" s="1562">
        <v>11</v>
      </c>
    </row>
    <row r="109" spans="1:32" s="4299" customFormat="1" ht="11.45" customHeight="1">
      <c r="A109" s="913"/>
      <c r="B109" s="1557"/>
      <c r="C109" s="1557"/>
      <c r="D109" s="289"/>
      <c r="K109" s="1081"/>
      <c r="L109" s="1557"/>
      <c r="M109" s="1557"/>
      <c r="N109" s="1081"/>
      <c r="O109" s="1081"/>
      <c r="P109" s="1081"/>
      <c r="Q109" s="1081"/>
      <c r="R109" s="1557"/>
      <c r="S109" s="1081"/>
      <c r="T109" s="1081"/>
      <c r="U109" s="482"/>
      <c r="V109" s="1081"/>
      <c r="W109" s="1081"/>
      <c r="X109" s="1081"/>
      <c r="Y109" s="1081"/>
      <c r="Z109" s="1081"/>
      <c r="AA109" s="1553"/>
      <c r="AB109" s="504"/>
      <c r="AC109" s="504"/>
      <c r="AD109" s="504"/>
      <c r="AE109" s="504"/>
      <c r="AF109" s="1562">
        <v>11</v>
      </c>
    </row>
    <row r="110" spans="1:32" s="4299" customFormat="1" ht="11.45" customHeight="1">
      <c r="A110" s="913"/>
      <c r="B110" s="1557"/>
      <c r="C110" s="1557"/>
      <c r="D110" s="289"/>
      <c r="K110" s="1081"/>
      <c r="L110" s="1557"/>
      <c r="M110" s="1557"/>
      <c r="N110" s="1081"/>
      <c r="O110" s="1081"/>
      <c r="P110" s="1081"/>
      <c r="Q110" s="1081"/>
      <c r="R110" s="1557"/>
      <c r="S110" s="1081"/>
      <c r="T110" s="1081"/>
      <c r="U110" s="482"/>
      <c r="V110" s="1081"/>
      <c r="W110" s="1081"/>
      <c r="X110" s="1081"/>
      <c r="Y110" s="1081"/>
      <c r="Z110" s="1081"/>
      <c r="AA110" s="1553"/>
      <c r="AB110" s="504"/>
      <c r="AC110" s="504"/>
      <c r="AD110" s="504"/>
      <c r="AE110" s="504"/>
      <c r="AF110" s="1562">
        <v>11</v>
      </c>
    </row>
    <row r="111" spans="1:32" s="4299" customFormat="1" ht="11.45" customHeight="1">
      <c r="A111" s="913"/>
      <c r="B111" s="1557"/>
      <c r="C111" s="1557"/>
      <c r="D111" s="289"/>
      <c r="K111" s="1081"/>
      <c r="L111" s="1557"/>
      <c r="M111" s="1557"/>
      <c r="N111" s="1081"/>
      <c r="O111" s="1081"/>
      <c r="P111" s="1081"/>
      <c r="Q111" s="1081"/>
      <c r="R111" s="1557"/>
      <c r="S111" s="1081"/>
      <c r="T111" s="1081"/>
      <c r="U111" s="482"/>
      <c r="V111" s="1081"/>
      <c r="W111" s="1081"/>
      <c r="X111" s="1081"/>
      <c r="Y111" s="1081"/>
      <c r="Z111" s="1081"/>
      <c r="AA111" s="1553"/>
      <c r="AB111" s="504"/>
      <c r="AC111" s="504"/>
      <c r="AD111" s="504"/>
      <c r="AE111" s="504"/>
      <c r="AF111" s="1562">
        <v>11</v>
      </c>
    </row>
    <row r="112" spans="1:32" s="4299" customFormat="1" ht="11.45" customHeight="1">
      <c r="A112" s="913"/>
      <c r="B112" s="1557"/>
      <c r="C112" s="1557"/>
      <c r="D112" s="289"/>
      <c r="K112" s="1081"/>
      <c r="L112" s="1557"/>
      <c r="M112" s="1557"/>
      <c r="N112" s="1081"/>
      <c r="O112" s="1081"/>
      <c r="P112" s="1081"/>
      <c r="Q112" s="1081"/>
      <c r="R112" s="1557"/>
      <c r="S112" s="1081"/>
      <c r="T112" s="1081"/>
      <c r="U112" s="482"/>
      <c r="V112" s="1081"/>
      <c r="W112" s="1081"/>
      <c r="X112" s="1081"/>
      <c r="Y112" s="1081"/>
      <c r="Z112" s="1081"/>
      <c r="AA112" s="1553"/>
      <c r="AB112" s="504"/>
      <c r="AC112" s="504"/>
      <c r="AD112" s="504"/>
      <c r="AE112" s="504"/>
      <c r="AF112" s="1562">
        <v>11</v>
      </c>
    </row>
    <row r="113" spans="1:32" s="4299" customFormat="1" ht="11.45" customHeight="1">
      <c r="A113" s="913"/>
      <c r="B113" s="1557"/>
      <c r="C113" s="1557"/>
      <c r="D113" s="289"/>
      <c r="K113" s="1081"/>
      <c r="L113" s="1557"/>
      <c r="M113" s="1557"/>
      <c r="N113" s="1081"/>
      <c r="O113" s="1081"/>
      <c r="P113" s="1081"/>
      <c r="Q113" s="1081"/>
      <c r="R113" s="1557"/>
      <c r="S113" s="1081"/>
      <c r="T113" s="1081"/>
      <c r="U113" s="482"/>
      <c r="V113" s="1081"/>
      <c r="W113" s="1081"/>
      <c r="X113" s="1081"/>
      <c r="Y113" s="1081"/>
      <c r="Z113" s="1081"/>
      <c r="AA113" s="1553"/>
      <c r="AB113" s="504"/>
      <c r="AC113" s="504"/>
      <c r="AD113" s="504"/>
      <c r="AE113" s="504"/>
      <c r="AF113" s="1562">
        <v>11</v>
      </c>
    </row>
    <row r="114" spans="1:32" s="4299" customFormat="1" ht="11.45" customHeight="1">
      <c r="A114" s="913"/>
      <c r="B114" s="1557"/>
      <c r="C114" s="1557"/>
      <c r="D114" s="289"/>
      <c r="K114" s="1081"/>
      <c r="L114" s="1557"/>
      <c r="M114" s="1557"/>
      <c r="N114" s="1081"/>
      <c r="O114" s="1081"/>
      <c r="P114" s="1081"/>
      <c r="Q114" s="1081"/>
      <c r="R114" s="1557"/>
      <c r="S114" s="1081"/>
      <c r="T114" s="1081"/>
      <c r="U114" s="482"/>
      <c r="V114" s="1081"/>
      <c r="W114" s="1081"/>
      <c r="X114" s="1081"/>
      <c r="Y114" s="1081"/>
      <c r="Z114" s="1081"/>
      <c r="AA114" s="1553"/>
      <c r="AB114" s="504"/>
      <c r="AC114" s="504"/>
      <c r="AD114" s="504"/>
      <c r="AE114" s="504"/>
      <c r="AF114" s="1562">
        <v>11</v>
      </c>
    </row>
    <row r="115" spans="1:32" s="4299" customFormat="1" ht="11.45" customHeight="1">
      <c r="A115" s="913"/>
      <c r="B115" s="1557"/>
      <c r="C115" s="1557"/>
      <c r="D115" s="289"/>
      <c r="K115" s="1081"/>
      <c r="L115" s="1557"/>
      <c r="M115" s="1557"/>
      <c r="N115" s="1081"/>
      <c r="O115" s="1081"/>
      <c r="P115" s="1081"/>
      <c r="Q115" s="1081"/>
      <c r="R115" s="1557"/>
      <c r="S115" s="1081"/>
      <c r="T115" s="1081"/>
      <c r="U115" s="482"/>
      <c r="V115" s="1081"/>
      <c r="W115" s="1081"/>
      <c r="X115" s="1081"/>
      <c r="Y115" s="1081"/>
      <c r="Z115" s="1081"/>
      <c r="AA115" s="1553"/>
      <c r="AB115" s="504"/>
      <c r="AC115" s="504"/>
      <c r="AD115" s="504"/>
      <c r="AE115" s="504"/>
      <c r="AF115" s="1562">
        <v>11</v>
      </c>
    </row>
    <row r="116" spans="1:32" s="4299" customFormat="1" ht="11.45" customHeight="1">
      <c r="A116" s="913"/>
      <c r="B116" s="1557"/>
      <c r="C116" s="1557"/>
      <c r="D116" s="289"/>
      <c r="K116" s="1081"/>
      <c r="L116" s="1557"/>
      <c r="M116" s="1557"/>
      <c r="N116" s="1081"/>
      <c r="O116" s="1081"/>
      <c r="P116" s="1081"/>
      <c r="Q116" s="1081"/>
      <c r="R116" s="1557"/>
      <c r="S116" s="1081"/>
      <c r="T116" s="1081"/>
      <c r="U116" s="482"/>
      <c r="V116" s="1081"/>
      <c r="W116" s="1081"/>
      <c r="X116" s="1081"/>
      <c r="Y116" s="1081"/>
      <c r="Z116" s="1081"/>
      <c r="AA116" s="1553"/>
      <c r="AB116" s="504"/>
      <c r="AC116" s="504"/>
      <c r="AD116" s="504"/>
      <c r="AE116" s="504"/>
      <c r="AF116" s="1562">
        <v>11</v>
      </c>
    </row>
    <row r="117" spans="1:32" s="4299" customFormat="1" ht="11.45" customHeight="1">
      <c r="A117" s="913"/>
      <c r="B117" s="1557"/>
      <c r="C117" s="1557"/>
      <c r="D117" s="289"/>
      <c r="K117" s="1081"/>
      <c r="L117" s="1557"/>
      <c r="M117" s="1557"/>
      <c r="N117" s="1081"/>
      <c r="O117" s="1081"/>
      <c r="P117" s="1081"/>
      <c r="Q117" s="1081"/>
      <c r="R117" s="1557"/>
      <c r="S117" s="1081"/>
      <c r="T117" s="1081"/>
      <c r="U117" s="482"/>
      <c r="V117" s="1081"/>
      <c r="W117" s="1081"/>
      <c r="X117" s="1081"/>
      <c r="Y117" s="1081"/>
      <c r="Z117" s="1081"/>
      <c r="AA117" s="1553"/>
      <c r="AB117" s="504"/>
      <c r="AC117" s="504"/>
      <c r="AD117" s="504"/>
      <c r="AE117" s="504"/>
      <c r="AF117" s="1562">
        <v>11</v>
      </c>
    </row>
    <row r="118" spans="1:32" s="4299" customFormat="1" ht="11.45" customHeight="1">
      <c r="A118" s="913"/>
      <c r="B118" s="1557"/>
      <c r="C118" s="1557"/>
      <c r="D118" s="289"/>
      <c r="K118" s="1081"/>
      <c r="L118" s="1557"/>
      <c r="M118" s="1557"/>
      <c r="N118" s="1081"/>
      <c r="O118" s="1081"/>
      <c r="P118" s="1081"/>
      <c r="Q118" s="1081"/>
      <c r="R118" s="1557"/>
      <c r="S118" s="1081"/>
      <c r="T118" s="1081"/>
      <c r="U118" s="482"/>
      <c r="V118" s="1081"/>
      <c r="W118" s="1081"/>
      <c r="X118" s="1081"/>
      <c r="Y118" s="1081"/>
      <c r="Z118" s="1081"/>
      <c r="AA118" s="1553"/>
      <c r="AB118" s="504"/>
      <c r="AC118" s="504"/>
      <c r="AD118" s="504"/>
      <c r="AE118" s="504"/>
      <c r="AF118" s="1562">
        <v>11</v>
      </c>
    </row>
    <row r="119" spans="1:32" s="4299" customFormat="1" ht="11.45" customHeight="1">
      <c r="A119" s="913"/>
      <c r="B119" s="1557"/>
      <c r="C119" s="1557"/>
      <c r="D119" s="289"/>
      <c r="K119" s="1081"/>
      <c r="L119" s="1557"/>
      <c r="M119" s="1557"/>
      <c r="N119" s="1081"/>
      <c r="O119" s="1081"/>
      <c r="P119" s="1081"/>
      <c r="Q119" s="1081"/>
      <c r="R119" s="1557"/>
      <c r="S119" s="1081"/>
      <c r="T119" s="1081"/>
      <c r="U119" s="482"/>
      <c r="V119" s="1081"/>
      <c r="W119" s="1081"/>
      <c r="X119" s="1081"/>
      <c r="Y119" s="1081"/>
      <c r="Z119" s="1081"/>
      <c r="AA119" s="1553"/>
      <c r="AB119" s="504"/>
      <c r="AC119" s="504"/>
      <c r="AD119" s="504"/>
      <c r="AE119" s="504"/>
      <c r="AF119" s="1562">
        <v>11</v>
      </c>
    </row>
    <row r="120" spans="1:32" s="4299" customFormat="1" ht="11.45" customHeight="1">
      <c r="A120" s="913"/>
      <c r="B120" s="1557"/>
      <c r="C120" s="1557"/>
      <c r="D120" s="289"/>
      <c r="K120" s="1081"/>
      <c r="L120" s="1557"/>
      <c r="M120" s="1557"/>
      <c r="N120" s="1081"/>
      <c r="O120" s="1081"/>
      <c r="P120" s="1081"/>
      <c r="Q120" s="1081"/>
      <c r="R120" s="1557"/>
      <c r="S120" s="1081"/>
      <c r="T120" s="1081"/>
      <c r="U120" s="482"/>
      <c r="V120" s="1081"/>
      <c r="W120" s="1081"/>
      <c r="X120" s="1081"/>
      <c r="Y120" s="1081"/>
      <c r="Z120" s="1081"/>
      <c r="AA120" s="1553"/>
      <c r="AB120" s="504"/>
      <c r="AC120" s="504"/>
      <c r="AD120" s="504"/>
      <c r="AE120" s="504"/>
      <c r="AF120" s="1562">
        <v>11</v>
      </c>
    </row>
    <row r="121" spans="1:32" s="4299" customFormat="1" ht="11.45" customHeight="1">
      <c r="A121" s="913"/>
      <c r="B121" s="1557"/>
      <c r="C121" s="1557"/>
      <c r="D121" s="289"/>
      <c r="K121" s="1081"/>
      <c r="L121" s="1557"/>
      <c r="M121" s="1557"/>
      <c r="N121" s="1081"/>
      <c r="O121" s="1081"/>
      <c r="P121" s="1081"/>
      <c r="Q121" s="1081"/>
      <c r="R121" s="1557"/>
      <c r="S121" s="1081"/>
      <c r="T121" s="1081"/>
      <c r="U121" s="482"/>
      <c r="V121" s="1081"/>
      <c r="W121" s="1081"/>
      <c r="X121" s="1081"/>
      <c r="Y121" s="1081"/>
      <c r="Z121" s="1081"/>
      <c r="AA121" s="1553"/>
      <c r="AB121" s="504"/>
      <c r="AC121" s="504"/>
      <c r="AD121" s="504"/>
      <c r="AE121" s="504"/>
      <c r="AF121" s="1562">
        <v>11</v>
      </c>
    </row>
    <row r="122" spans="1:32" s="4299" customFormat="1" ht="11.45" customHeight="1">
      <c r="A122" s="913"/>
      <c r="B122" s="1557"/>
      <c r="C122" s="1557"/>
      <c r="D122" s="289"/>
      <c r="K122" s="1081"/>
      <c r="L122" s="1557"/>
      <c r="M122" s="1557"/>
      <c r="N122" s="1081"/>
      <c r="O122" s="1081"/>
      <c r="P122" s="1081"/>
      <c r="Q122" s="1081"/>
      <c r="R122" s="1557"/>
      <c r="S122" s="1081"/>
      <c r="T122" s="1081"/>
      <c r="U122" s="482"/>
      <c r="V122" s="1081"/>
      <c r="W122" s="1081"/>
      <c r="X122" s="1081"/>
      <c r="Y122" s="1081"/>
      <c r="Z122" s="1081"/>
      <c r="AA122" s="1553"/>
      <c r="AB122" s="504"/>
      <c r="AC122" s="504"/>
      <c r="AD122" s="504"/>
      <c r="AE122" s="504"/>
      <c r="AF122" s="1562">
        <v>11</v>
      </c>
    </row>
    <row r="123" spans="1:32" s="4299" customFormat="1" ht="11.45" customHeight="1">
      <c r="A123" s="913"/>
      <c r="B123" s="1557"/>
      <c r="C123" s="1557"/>
      <c r="D123" s="289"/>
      <c r="K123" s="1081"/>
      <c r="L123" s="1557"/>
      <c r="M123" s="1557"/>
      <c r="N123" s="1081"/>
      <c r="O123" s="1081"/>
      <c r="P123" s="1081"/>
      <c r="Q123" s="1081"/>
      <c r="R123" s="1557"/>
      <c r="S123" s="1081"/>
      <c r="T123" s="1081"/>
      <c r="U123" s="482"/>
      <c r="V123" s="1081"/>
      <c r="W123" s="1081"/>
      <c r="X123" s="1081"/>
      <c r="Y123" s="1081"/>
      <c r="Z123" s="1081"/>
      <c r="AA123" s="1553"/>
      <c r="AB123" s="504"/>
      <c r="AC123" s="504"/>
      <c r="AD123" s="504"/>
      <c r="AE123" s="504"/>
      <c r="AF123" s="1562">
        <v>11</v>
      </c>
    </row>
    <row r="124" spans="1:32" s="4299" customFormat="1" ht="11.45" customHeight="1">
      <c r="A124" s="913"/>
      <c r="B124" s="1557"/>
      <c r="C124" s="1557"/>
      <c r="D124" s="289"/>
      <c r="K124" s="1081"/>
      <c r="L124" s="1557"/>
      <c r="M124" s="1557"/>
      <c r="N124" s="1081"/>
      <c r="O124" s="1081"/>
      <c r="P124" s="1081"/>
      <c r="Q124" s="1081"/>
      <c r="R124" s="1557"/>
      <c r="S124" s="1081"/>
      <c r="T124" s="1081"/>
      <c r="U124" s="482"/>
      <c r="V124" s="1081"/>
      <c r="W124" s="1081"/>
      <c r="X124" s="1081"/>
      <c r="Y124" s="1081"/>
      <c r="Z124" s="1081"/>
      <c r="AA124" s="1553"/>
      <c r="AB124" s="504"/>
      <c r="AC124" s="504"/>
      <c r="AD124" s="504"/>
      <c r="AE124" s="504"/>
      <c r="AF124" s="1562">
        <v>11</v>
      </c>
    </row>
    <row r="125" spans="1:32" s="4299" customFormat="1" ht="11.45" customHeight="1">
      <c r="A125" s="913"/>
      <c r="B125" s="1557"/>
      <c r="C125" s="1557"/>
      <c r="D125" s="289"/>
      <c r="K125" s="1081"/>
      <c r="L125" s="1557"/>
      <c r="M125" s="1557"/>
      <c r="N125" s="1081"/>
      <c r="O125" s="1081"/>
      <c r="P125" s="1081"/>
      <c r="Q125" s="1081"/>
      <c r="R125" s="1557"/>
      <c r="S125" s="1081"/>
      <c r="T125" s="1081"/>
      <c r="U125" s="482"/>
      <c r="V125" s="1081"/>
      <c r="W125" s="1081"/>
      <c r="X125" s="1081"/>
      <c r="Y125" s="1081"/>
      <c r="Z125" s="1081"/>
      <c r="AA125" s="1553"/>
      <c r="AB125" s="504"/>
      <c r="AC125" s="504"/>
      <c r="AD125" s="504"/>
      <c r="AE125" s="504"/>
      <c r="AF125" s="1562">
        <v>11</v>
      </c>
    </row>
    <row r="126" spans="1:32" s="4299" customFormat="1" ht="11.45" customHeight="1">
      <c r="A126" s="913"/>
      <c r="B126" s="1557"/>
      <c r="C126" s="1557"/>
      <c r="D126" s="289"/>
      <c r="K126" s="1081"/>
      <c r="L126" s="1557"/>
      <c r="M126" s="1557"/>
      <c r="N126" s="1081"/>
      <c r="O126" s="1081"/>
      <c r="P126" s="1081"/>
      <c r="Q126" s="1081"/>
      <c r="R126" s="1557"/>
      <c r="S126" s="1081"/>
      <c r="T126" s="1081"/>
      <c r="U126" s="482"/>
      <c r="V126" s="1081"/>
      <c r="W126" s="1081"/>
      <c r="X126" s="1081"/>
      <c r="Y126" s="1081"/>
      <c r="Z126" s="1081"/>
      <c r="AA126" s="1553"/>
      <c r="AB126" s="504"/>
      <c r="AC126" s="504"/>
      <c r="AD126" s="504"/>
      <c r="AE126" s="504"/>
      <c r="AF126" s="1562">
        <v>11</v>
      </c>
    </row>
    <row r="127" spans="1:32" s="4299" customFormat="1" ht="11.45" customHeight="1">
      <c r="A127" s="913"/>
      <c r="B127" s="1557"/>
      <c r="C127" s="1557"/>
      <c r="D127" s="289"/>
      <c r="K127" s="1081"/>
      <c r="L127" s="1557"/>
      <c r="M127" s="1557"/>
      <c r="N127" s="1081"/>
      <c r="O127" s="1081"/>
      <c r="P127" s="1081"/>
      <c r="Q127" s="1081"/>
      <c r="R127" s="1557"/>
      <c r="S127" s="1081"/>
      <c r="T127" s="1081"/>
      <c r="U127" s="482"/>
      <c r="V127" s="1081"/>
      <c r="W127" s="1081"/>
      <c r="X127" s="1081"/>
      <c r="Y127" s="1081"/>
      <c r="Z127" s="1081"/>
      <c r="AA127" s="1553"/>
      <c r="AB127" s="504"/>
      <c r="AC127" s="504"/>
      <c r="AD127" s="504"/>
      <c r="AE127" s="504"/>
      <c r="AF127" s="1562">
        <v>11</v>
      </c>
    </row>
    <row r="128" spans="1:32" s="4299" customFormat="1" ht="11.45" customHeight="1">
      <c r="A128" s="913"/>
      <c r="B128" s="1557"/>
      <c r="C128" s="1557"/>
      <c r="D128" s="289"/>
      <c r="K128" s="1081"/>
      <c r="L128" s="1557"/>
      <c r="M128" s="1557"/>
      <c r="N128" s="1081"/>
      <c r="O128" s="1081"/>
      <c r="P128" s="1081"/>
      <c r="Q128" s="1081"/>
      <c r="R128" s="1557"/>
      <c r="S128" s="1081"/>
      <c r="T128" s="1081"/>
      <c r="U128" s="482"/>
      <c r="V128" s="1081"/>
      <c r="W128" s="1081"/>
      <c r="X128" s="1081"/>
      <c r="Y128" s="1081"/>
      <c r="Z128" s="1081"/>
      <c r="AA128" s="1553"/>
      <c r="AB128" s="504"/>
      <c r="AC128" s="504"/>
      <c r="AD128" s="504"/>
      <c r="AE128" s="504"/>
      <c r="AF128" s="1562">
        <v>11</v>
      </c>
    </row>
    <row r="129" spans="1:32" s="4299" customFormat="1" ht="11.45" customHeight="1">
      <c r="A129" s="913"/>
      <c r="B129" s="1557"/>
      <c r="C129" s="1557"/>
      <c r="D129" s="289"/>
      <c r="K129" s="1081"/>
      <c r="L129" s="1557"/>
      <c r="M129" s="1557"/>
      <c r="N129" s="1081"/>
      <c r="O129" s="1081"/>
      <c r="P129" s="1081"/>
      <c r="Q129" s="1081"/>
      <c r="R129" s="1557"/>
      <c r="S129" s="1081"/>
      <c r="T129" s="1081"/>
      <c r="U129" s="482"/>
      <c r="V129" s="1081"/>
      <c r="W129" s="1081"/>
      <c r="X129" s="1081"/>
      <c r="Y129" s="1081"/>
      <c r="Z129" s="1081"/>
      <c r="AA129" s="1553"/>
      <c r="AB129" s="504"/>
      <c r="AC129" s="504"/>
      <c r="AD129" s="504"/>
      <c r="AE129" s="504"/>
      <c r="AF129" s="1562">
        <v>11</v>
      </c>
    </row>
    <row r="130" spans="1:32" s="4299" customFormat="1" ht="11.45" customHeight="1">
      <c r="A130" s="913"/>
      <c r="B130" s="1557"/>
      <c r="C130" s="1557"/>
      <c r="D130" s="289"/>
      <c r="K130" s="1081"/>
      <c r="L130" s="1557"/>
      <c r="M130" s="1557"/>
      <c r="N130" s="1081"/>
      <c r="O130" s="1081"/>
      <c r="P130" s="1081"/>
      <c r="Q130" s="1081"/>
      <c r="R130" s="1557"/>
      <c r="S130" s="1081"/>
      <c r="T130" s="1081"/>
      <c r="U130" s="482"/>
      <c r="V130" s="1081"/>
      <c r="W130" s="1081"/>
      <c r="X130" s="1081"/>
      <c r="Y130" s="1081"/>
      <c r="Z130" s="1081"/>
      <c r="AA130" s="1553"/>
      <c r="AB130" s="504"/>
      <c r="AC130" s="504"/>
      <c r="AD130" s="504"/>
      <c r="AE130" s="504"/>
      <c r="AF130" s="1562">
        <v>11</v>
      </c>
    </row>
    <row r="131" spans="1:32" s="4299" customFormat="1" ht="11.45" customHeight="1">
      <c r="A131" s="913"/>
      <c r="B131" s="1557"/>
      <c r="C131" s="1557"/>
      <c r="D131" s="289"/>
      <c r="K131" s="1081"/>
      <c r="L131" s="1557"/>
      <c r="M131" s="1557"/>
      <c r="N131" s="1081"/>
      <c r="O131" s="1081"/>
      <c r="P131" s="1081"/>
      <c r="Q131" s="1081"/>
      <c r="R131" s="1557"/>
      <c r="S131" s="1081"/>
      <c r="T131" s="1081"/>
      <c r="U131" s="482"/>
      <c r="V131" s="1081"/>
      <c r="W131" s="1081"/>
      <c r="X131" s="1081"/>
      <c r="Y131" s="1081"/>
      <c r="Z131" s="1081"/>
      <c r="AA131" s="1553"/>
      <c r="AB131" s="504"/>
      <c r="AC131" s="504"/>
      <c r="AD131" s="504"/>
      <c r="AE131" s="504"/>
      <c r="AF131" s="1562">
        <v>11</v>
      </c>
    </row>
    <row r="132" spans="1:32" s="4299" customFormat="1" ht="11.45" customHeight="1">
      <c r="A132" s="913"/>
      <c r="B132" s="1557"/>
      <c r="C132" s="1557"/>
      <c r="D132" s="289"/>
      <c r="K132" s="1081"/>
      <c r="L132" s="1557"/>
      <c r="M132" s="1557"/>
      <c r="N132" s="1081"/>
      <c r="O132" s="1081"/>
      <c r="P132" s="1081"/>
      <c r="Q132" s="1081"/>
      <c r="R132" s="1557"/>
      <c r="S132" s="1081"/>
      <c r="T132" s="1081"/>
      <c r="U132" s="482"/>
      <c r="V132" s="1081"/>
      <c r="W132" s="1081"/>
      <c r="X132" s="1081"/>
      <c r="Y132" s="1081"/>
      <c r="Z132" s="1081"/>
      <c r="AA132" s="1553"/>
      <c r="AB132" s="504"/>
      <c r="AC132" s="504"/>
      <c r="AD132" s="504"/>
      <c r="AE132" s="504"/>
      <c r="AF132" s="1562">
        <v>11</v>
      </c>
    </row>
    <row r="133" spans="1:32" s="4299" customFormat="1" ht="11.45" customHeight="1">
      <c r="A133" s="913"/>
      <c r="B133" s="1557"/>
      <c r="C133" s="1557"/>
      <c r="D133" s="289"/>
      <c r="K133" s="1081"/>
      <c r="L133" s="1557"/>
      <c r="M133" s="1557"/>
      <c r="N133" s="1081"/>
      <c r="O133" s="1081"/>
      <c r="P133" s="1081"/>
      <c r="Q133" s="1081"/>
      <c r="R133" s="1557"/>
      <c r="S133" s="1081"/>
      <c r="T133" s="1081"/>
      <c r="U133" s="482"/>
      <c r="V133" s="1081"/>
      <c r="W133" s="1081"/>
      <c r="X133" s="1081"/>
      <c r="Y133" s="1081"/>
      <c r="Z133" s="1081"/>
      <c r="AA133" s="1553"/>
      <c r="AB133" s="504"/>
      <c r="AC133" s="504"/>
      <c r="AD133" s="504"/>
      <c r="AE133" s="504"/>
      <c r="AF133" s="1562">
        <v>11</v>
      </c>
    </row>
    <row r="134" spans="1:32" s="4299" customFormat="1" ht="11.45" customHeight="1">
      <c r="A134" s="913"/>
      <c r="B134" s="1557"/>
      <c r="C134" s="1557"/>
      <c r="D134" s="289"/>
      <c r="K134" s="1081"/>
      <c r="L134" s="1557"/>
      <c r="M134" s="1557"/>
      <c r="N134" s="1081"/>
      <c r="O134" s="1081"/>
      <c r="P134" s="1081"/>
      <c r="Q134" s="1081"/>
      <c r="R134" s="1557"/>
      <c r="S134" s="1081"/>
      <c r="T134" s="1081"/>
      <c r="U134" s="482"/>
      <c r="V134" s="1081"/>
      <c r="W134" s="1081"/>
      <c r="X134" s="1081"/>
      <c r="Y134" s="1081"/>
      <c r="Z134" s="1081"/>
      <c r="AA134" s="1553"/>
      <c r="AB134" s="504"/>
      <c r="AC134" s="504"/>
      <c r="AD134" s="504"/>
      <c r="AE134" s="504"/>
      <c r="AF134" s="1562">
        <v>11</v>
      </c>
    </row>
    <row r="135" spans="1:32" s="4299" customFormat="1" ht="11.45" customHeight="1">
      <c r="A135" s="913"/>
      <c r="B135" s="1557"/>
      <c r="C135" s="1557"/>
      <c r="D135" s="289"/>
      <c r="K135" s="1081"/>
      <c r="L135" s="1557"/>
      <c r="M135" s="1557"/>
      <c r="N135" s="1081"/>
      <c r="O135" s="1081"/>
      <c r="P135" s="1081"/>
      <c r="Q135" s="1081"/>
      <c r="R135" s="1557"/>
      <c r="S135" s="1081"/>
      <c r="T135" s="1081"/>
      <c r="U135" s="482"/>
      <c r="V135" s="1081"/>
      <c r="W135" s="1081"/>
      <c r="X135" s="1081"/>
      <c r="Y135" s="1081"/>
      <c r="Z135" s="1081"/>
      <c r="AA135" s="1553"/>
      <c r="AB135" s="504"/>
      <c r="AC135" s="504"/>
      <c r="AD135" s="504"/>
      <c r="AE135" s="504"/>
      <c r="AF135" s="1562">
        <v>11</v>
      </c>
    </row>
    <row r="136" spans="1:32" s="4299" customFormat="1" ht="11.45" customHeight="1">
      <c r="A136" s="913"/>
      <c r="B136" s="1557"/>
      <c r="C136" s="1557"/>
      <c r="D136" s="289"/>
      <c r="K136" s="1081"/>
      <c r="L136" s="1557"/>
      <c r="M136" s="1557"/>
      <c r="N136" s="1081"/>
      <c r="O136" s="1081"/>
      <c r="P136" s="1081"/>
      <c r="Q136" s="1081"/>
      <c r="R136" s="1557"/>
      <c r="S136" s="1081"/>
      <c r="T136" s="1081"/>
      <c r="U136" s="482"/>
      <c r="V136" s="1081"/>
      <c r="W136" s="1081"/>
      <c r="X136" s="1081"/>
      <c r="Y136" s="1081"/>
      <c r="Z136" s="1081"/>
      <c r="AA136" s="1553"/>
      <c r="AB136" s="504"/>
      <c r="AC136" s="504"/>
      <c r="AD136" s="504"/>
      <c r="AE136" s="504"/>
      <c r="AF136" s="1562">
        <v>11</v>
      </c>
    </row>
    <row r="137" spans="1:32" s="4299" customFormat="1" ht="11.45" customHeight="1">
      <c r="A137" s="913"/>
      <c r="B137" s="1557"/>
      <c r="C137" s="1557"/>
      <c r="D137" s="289"/>
      <c r="K137" s="1081"/>
      <c r="L137" s="1557"/>
      <c r="M137" s="1557"/>
      <c r="N137" s="1081"/>
      <c r="O137" s="1081"/>
      <c r="P137" s="1081"/>
      <c r="Q137" s="1081"/>
      <c r="R137" s="1557"/>
      <c r="S137" s="1081"/>
      <c r="T137" s="1081"/>
      <c r="U137" s="482"/>
      <c r="V137" s="1081"/>
      <c r="W137" s="1081"/>
      <c r="X137" s="1081"/>
      <c r="Y137" s="1081"/>
      <c r="Z137" s="1081"/>
      <c r="AA137" s="1553"/>
      <c r="AB137" s="504"/>
      <c r="AC137" s="504"/>
      <c r="AD137" s="504"/>
      <c r="AE137" s="504"/>
      <c r="AF137" s="1562">
        <v>11</v>
      </c>
    </row>
    <row r="138" spans="1:32" s="4299" customFormat="1" ht="11.45" customHeight="1">
      <c r="A138" s="913"/>
      <c r="B138" s="1557"/>
      <c r="C138" s="1557"/>
      <c r="D138" s="289"/>
      <c r="K138" s="1081"/>
      <c r="L138" s="1557"/>
      <c r="M138" s="1557"/>
      <c r="N138" s="1081"/>
      <c r="O138" s="1081"/>
      <c r="P138" s="1081"/>
      <c r="Q138" s="1081"/>
      <c r="R138" s="1557"/>
      <c r="S138" s="1081"/>
      <c r="T138" s="1081"/>
      <c r="U138" s="482"/>
      <c r="V138" s="1081"/>
      <c r="W138" s="1081"/>
      <c r="X138" s="1081"/>
      <c r="Y138" s="1081"/>
      <c r="Z138" s="1081"/>
      <c r="AA138" s="1553"/>
      <c r="AB138" s="504"/>
      <c r="AC138" s="504"/>
      <c r="AD138" s="504"/>
      <c r="AE138" s="504"/>
      <c r="AF138" s="1562">
        <v>11</v>
      </c>
    </row>
    <row r="139" spans="1:32" s="4299" customFormat="1" ht="11.45" customHeight="1">
      <c r="A139" s="913"/>
      <c r="B139" s="1557"/>
      <c r="C139" s="1557"/>
      <c r="D139" s="289"/>
      <c r="K139" s="1081"/>
      <c r="L139" s="1557"/>
      <c r="M139" s="1557"/>
      <c r="N139" s="1081"/>
      <c r="O139" s="1081"/>
      <c r="P139" s="1081"/>
      <c r="Q139" s="1081"/>
      <c r="R139" s="1557"/>
      <c r="S139" s="1081"/>
      <c r="T139" s="1081"/>
      <c r="U139" s="482"/>
      <c r="V139" s="1081"/>
      <c r="W139" s="1081"/>
      <c r="X139" s="1081"/>
      <c r="Y139" s="1081"/>
      <c r="Z139" s="1081"/>
      <c r="AA139" s="1553"/>
      <c r="AB139" s="504"/>
      <c r="AC139" s="504"/>
      <c r="AD139" s="504"/>
      <c r="AE139" s="504"/>
      <c r="AF139" s="1562">
        <v>11</v>
      </c>
    </row>
    <row r="140" spans="1:32" s="4299" customFormat="1" ht="11.45" customHeight="1">
      <c r="A140" s="913"/>
      <c r="B140" s="1557"/>
      <c r="C140" s="1557"/>
      <c r="D140" s="289"/>
      <c r="K140" s="1081"/>
      <c r="L140" s="1557"/>
      <c r="M140" s="1557"/>
      <c r="N140" s="1081"/>
      <c r="O140" s="1081"/>
      <c r="P140" s="1081"/>
      <c r="Q140" s="1081"/>
      <c r="R140" s="1557"/>
      <c r="S140" s="1081"/>
      <c r="T140" s="1081"/>
      <c r="U140" s="482"/>
      <c r="V140" s="1081"/>
      <c r="W140" s="1081"/>
      <c r="X140" s="1081"/>
      <c r="Y140" s="1081"/>
      <c r="Z140" s="1081"/>
      <c r="AA140" s="1553"/>
      <c r="AB140" s="504"/>
      <c r="AC140" s="504"/>
      <c r="AD140" s="504"/>
      <c r="AE140" s="504"/>
      <c r="AF140" s="1562">
        <v>11</v>
      </c>
    </row>
    <row r="141" spans="1:32" s="4299" customFormat="1" ht="11.45" customHeight="1">
      <c r="A141" s="913"/>
      <c r="B141" s="1557"/>
      <c r="C141" s="1557"/>
      <c r="D141" s="289"/>
      <c r="K141" s="1081"/>
      <c r="L141" s="1557"/>
      <c r="M141" s="1557"/>
      <c r="N141" s="1081"/>
      <c r="O141" s="1081"/>
      <c r="P141" s="1081"/>
      <c r="Q141" s="1081"/>
      <c r="R141" s="1557"/>
      <c r="S141" s="1081"/>
      <c r="T141" s="1081"/>
      <c r="U141" s="482"/>
      <c r="V141" s="1081"/>
      <c r="W141" s="1081"/>
      <c r="X141" s="1081"/>
      <c r="Y141" s="1081"/>
      <c r="Z141" s="1081"/>
      <c r="AA141" s="1553"/>
      <c r="AB141" s="504"/>
      <c r="AC141" s="504"/>
      <c r="AD141" s="504"/>
      <c r="AE141" s="504"/>
      <c r="AF141" s="1562">
        <v>11</v>
      </c>
    </row>
    <row r="142" spans="1:32" s="4299" customFormat="1" ht="11.45" customHeight="1">
      <c r="A142" s="913"/>
      <c r="B142" s="1557"/>
      <c r="C142" s="1557"/>
      <c r="D142" s="289"/>
      <c r="K142" s="1081"/>
      <c r="L142" s="1557"/>
      <c r="M142" s="1557"/>
      <c r="N142" s="1081"/>
      <c r="O142" s="1081"/>
      <c r="P142" s="1081"/>
      <c r="Q142" s="1081"/>
      <c r="R142" s="1557"/>
      <c r="S142" s="1081"/>
      <c r="T142" s="1081"/>
      <c r="U142" s="482"/>
      <c r="V142" s="1081"/>
      <c r="W142" s="1081"/>
      <c r="X142" s="1081"/>
      <c r="Y142" s="1081"/>
      <c r="Z142" s="1081"/>
      <c r="AA142" s="1553"/>
      <c r="AB142" s="504"/>
      <c r="AC142" s="504"/>
      <c r="AD142" s="504"/>
      <c r="AE142" s="504"/>
      <c r="AF142" s="1562">
        <v>11</v>
      </c>
    </row>
    <row r="143" spans="1:32" s="4299" customFormat="1" ht="11.45" customHeight="1">
      <c r="A143" s="913"/>
      <c r="B143" s="1557"/>
      <c r="C143" s="1557"/>
      <c r="D143" s="289"/>
      <c r="K143" s="1081"/>
      <c r="L143" s="1557"/>
      <c r="M143" s="1557"/>
      <c r="N143" s="1081"/>
      <c r="O143" s="1081"/>
      <c r="P143" s="1081"/>
      <c r="Q143" s="1081"/>
      <c r="R143" s="1557"/>
      <c r="S143" s="1081"/>
      <c r="T143" s="1081"/>
      <c r="U143" s="482"/>
      <c r="V143" s="1081"/>
      <c r="W143" s="1081"/>
      <c r="X143" s="1081"/>
      <c r="Y143" s="1081"/>
      <c r="Z143" s="1081"/>
      <c r="AA143" s="1553"/>
      <c r="AB143" s="504"/>
      <c r="AC143" s="504"/>
      <c r="AD143" s="504"/>
      <c r="AE143" s="504"/>
      <c r="AF143" s="1562">
        <v>11</v>
      </c>
    </row>
    <row r="144" spans="1:32" s="4299" customFormat="1" ht="11.45" customHeight="1">
      <c r="A144" s="913"/>
      <c r="B144" s="1557"/>
      <c r="C144" s="1557"/>
      <c r="D144" s="289"/>
      <c r="K144" s="1081"/>
      <c r="L144" s="1557"/>
      <c r="M144" s="1557"/>
      <c r="N144" s="1081"/>
      <c r="O144" s="1081"/>
      <c r="P144" s="1081"/>
      <c r="Q144" s="1081"/>
      <c r="R144" s="1557"/>
      <c r="S144" s="1081"/>
      <c r="T144" s="1081"/>
      <c r="U144" s="482"/>
      <c r="V144" s="1081"/>
      <c r="W144" s="1081"/>
      <c r="X144" s="1081"/>
      <c r="Y144" s="1081"/>
      <c r="Z144" s="1081"/>
      <c r="AA144" s="1553"/>
      <c r="AB144" s="504"/>
      <c r="AC144" s="504"/>
      <c r="AD144" s="504"/>
      <c r="AE144" s="504"/>
      <c r="AF144" s="1562">
        <v>11</v>
      </c>
    </row>
    <row r="145" spans="1:32" s="4299" customFormat="1" ht="11.45" customHeight="1">
      <c r="A145" s="913"/>
      <c r="B145" s="1557"/>
      <c r="C145" s="1557"/>
      <c r="D145" s="289"/>
      <c r="K145" s="1081"/>
      <c r="L145" s="1557"/>
      <c r="M145" s="1557"/>
      <c r="N145" s="1081"/>
      <c r="O145" s="1081"/>
      <c r="P145" s="1081"/>
      <c r="Q145" s="1081"/>
      <c r="R145" s="1557"/>
      <c r="S145" s="1081"/>
      <c r="T145" s="1081"/>
      <c r="U145" s="482"/>
      <c r="V145" s="1081"/>
      <c r="W145" s="1081"/>
      <c r="X145" s="1081"/>
      <c r="Y145" s="1081"/>
      <c r="Z145" s="1081"/>
      <c r="AA145" s="1553"/>
      <c r="AB145" s="504"/>
      <c r="AC145" s="504"/>
      <c r="AD145" s="504"/>
      <c r="AE145" s="504"/>
      <c r="AF145" s="1562">
        <v>11</v>
      </c>
    </row>
    <row r="146" spans="1:32" s="4299" customFormat="1" ht="11.45" customHeight="1">
      <c r="A146" s="913"/>
      <c r="B146" s="1557"/>
      <c r="C146" s="1557"/>
      <c r="D146" s="289"/>
      <c r="K146" s="1081"/>
      <c r="L146" s="1557"/>
      <c r="M146" s="1557"/>
      <c r="N146" s="1081"/>
      <c r="O146" s="1081"/>
      <c r="P146" s="1081"/>
      <c r="Q146" s="1081"/>
      <c r="R146" s="1557"/>
      <c r="S146" s="1081"/>
      <c r="T146" s="1081"/>
      <c r="U146" s="482"/>
      <c r="V146" s="1081"/>
      <c r="W146" s="1081"/>
      <c r="X146" s="1081"/>
      <c r="Y146" s="1081"/>
      <c r="Z146" s="1081"/>
      <c r="AA146" s="1553"/>
      <c r="AB146" s="504"/>
      <c r="AC146" s="504"/>
      <c r="AD146" s="504"/>
      <c r="AE146" s="504"/>
      <c r="AF146" s="1562">
        <v>11</v>
      </c>
    </row>
    <row r="147" spans="1:32" s="4299" customFormat="1" ht="11.45" customHeight="1">
      <c r="A147" s="913"/>
      <c r="B147" s="1557"/>
      <c r="C147" s="1557"/>
      <c r="D147" s="289"/>
      <c r="K147" s="1081"/>
      <c r="L147" s="1557"/>
      <c r="M147" s="1557"/>
      <c r="N147" s="1081"/>
      <c r="O147" s="1081"/>
      <c r="P147" s="1081"/>
      <c r="Q147" s="1081"/>
      <c r="R147" s="1557"/>
      <c r="S147" s="1081"/>
      <c r="T147" s="1081"/>
      <c r="U147" s="482"/>
      <c r="V147" s="1081"/>
      <c r="W147" s="1081"/>
      <c r="X147" s="1081"/>
      <c r="Y147" s="1081"/>
      <c r="Z147" s="1081"/>
      <c r="AA147" s="1553"/>
      <c r="AB147" s="504"/>
      <c r="AC147" s="504"/>
      <c r="AD147" s="504"/>
      <c r="AE147" s="504"/>
      <c r="AF147" s="1562">
        <v>11</v>
      </c>
    </row>
    <row r="148" spans="1:32" s="4299" customFormat="1" ht="11.45" customHeight="1">
      <c r="A148" s="913"/>
      <c r="B148" s="1557"/>
      <c r="C148" s="1557"/>
      <c r="D148" s="289"/>
      <c r="K148" s="1081"/>
      <c r="L148" s="1557"/>
      <c r="M148" s="1557"/>
      <c r="N148" s="1081"/>
      <c r="O148" s="1081"/>
      <c r="P148" s="1081"/>
      <c r="Q148" s="1081"/>
      <c r="R148" s="1557"/>
      <c r="S148" s="1081"/>
      <c r="T148" s="1081"/>
      <c r="U148" s="482"/>
      <c r="V148" s="1081"/>
      <c r="W148" s="1081"/>
      <c r="X148" s="1081"/>
      <c r="Y148" s="1081"/>
      <c r="Z148" s="1081"/>
      <c r="AA148" s="1553"/>
      <c r="AB148" s="504"/>
      <c r="AC148" s="504"/>
      <c r="AD148" s="504"/>
      <c r="AE148" s="504"/>
      <c r="AF148" s="1562">
        <v>11</v>
      </c>
    </row>
    <row r="149" spans="1:32" s="4299" customFormat="1" ht="11.45" customHeight="1">
      <c r="A149" s="913"/>
      <c r="B149" s="1557"/>
      <c r="C149" s="1557"/>
      <c r="D149" s="289"/>
      <c r="K149" s="1081"/>
      <c r="L149" s="1557"/>
      <c r="M149" s="1557"/>
      <c r="N149" s="1081"/>
      <c r="O149" s="1081"/>
      <c r="P149" s="1081"/>
      <c r="Q149" s="1081"/>
      <c r="R149" s="1557"/>
      <c r="S149" s="1081"/>
      <c r="T149" s="1081"/>
      <c r="U149" s="482"/>
      <c r="V149" s="1081"/>
      <c r="W149" s="1081"/>
      <c r="X149" s="1081"/>
      <c r="Y149" s="1081"/>
      <c r="Z149" s="1081"/>
      <c r="AA149" s="1553"/>
      <c r="AB149" s="504"/>
      <c r="AC149" s="504"/>
      <c r="AD149" s="504"/>
      <c r="AE149" s="504"/>
      <c r="AF149" s="1562">
        <v>11</v>
      </c>
    </row>
    <row r="150" spans="1:32" s="4299" customFormat="1" ht="11.45" customHeight="1">
      <c r="A150" s="913"/>
      <c r="B150" s="1557"/>
      <c r="C150" s="1557"/>
      <c r="D150" s="289"/>
      <c r="K150" s="1081"/>
      <c r="L150" s="1557"/>
      <c r="M150" s="1557"/>
      <c r="N150" s="1081"/>
      <c r="O150" s="1081"/>
      <c r="P150" s="1081"/>
      <c r="Q150" s="1081"/>
      <c r="R150" s="1557"/>
      <c r="S150" s="1081"/>
      <c r="T150" s="1081"/>
      <c r="U150" s="482"/>
      <c r="V150" s="1081"/>
      <c r="W150" s="1081"/>
      <c r="X150" s="1081"/>
      <c r="Y150" s="1081"/>
      <c r="Z150" s="1081"/>
      <c r="AA150" s="1553"/>
      <c r="AB150" s="504"/>
      <c r="AC150" s="504"/>
      <c r="AD150" s="504"/>
      <c r="AE150" s="504"/>
      <c r="AF150" s="1562">
        <v>11</v>
      </c>
    </row>
    <row r="151" spans="1:32" s="4299" customFormat="1" ht="11.45" customHeight="1">
      <c r="A151" s="913"/>
      <c r="B151" s="1557"/>
      <c r="C151" s="1557"/>
      <c r="D151" s="289"/>
      <c r="K151" s="1081"/>
      <c r="L151" s="1557"/>
      <c r="M151" s="1557"/>
      <c r="N151" s="1081"/>
      <c r="O151" s="1081"/>
      <c r="P151" s="1081"/>
      <c r="Q151" s="1081"/>
      <c r="R151" s="1557"/>
      <c r="S151" s="1081"/>
      <c r="T151" s="1081"/>
      <c r="U151" s="482"/>
      <c r="V151" s="1081"/>
      <c r="W151" s="1081"/>
      <c r="X151" s="1081"/>
      <c r="Y151" s="1081"/>
      <c r="Z151" s="1081"/>
      <c r="AA151" s="1553"/>
      <c r="AB151" s="504"/>
      <c r="AC151" s="504"/>
      <c r="AD151" s="504"/>
      <c r="AE151" s="504"/>
      <c r="AF151" s="1562">
        <v>11</v>
      </c>
    </row>
    <row r="152" spans="1:32" s="4299" customFormat="1" ht="11.45" customHeight="1">
      <c r="A152" s="913"/>
      <c r="B152" s="1557"/>
      <c r="C152" s="1557"/>
      <c r="D152" s="289"/>
      <c r="K152" s="1081"/>
      <c r="L152" s="1557"/>
      <c r="M152" s="1557"/>
      <c r="N152" s="1081"/>
      <c r="O152" s="1081"/>
      <c r="P152" s="1081"/>
      <c r="Q152" s="1081"/>
      <c r="R152" s="1557"/>
      <c r="S152" s="1081"/>
      <c r="T152" s="1081"/>
      <c r="U152" s="482"/>
      <c r="V152" s="1081"/>
      <c r="W152" s="1081"/>
      <c r="X152" s="1081"/>
      <c r="Y152" s="1081"/>
      <c r="Z152" s="1081"/>
      <c r="AA152" s="1553"/>
      <c r="AB152" s="504"/>
      <c r="AC152" s="504"/>
      <c r="AD152" s="504"/>
      <c r="AE152" s="504"/>
      <c r="AF152" s="1562">
        <v>11</v>
      </c>
    </row>
    <row r="153" spans="1:32" s="4299" customFormat="1" ht="11.45" customHeight="1">
      <c r="A153" s="913"/>
      <c r="B153" s="1557"/>
      <c r="C153" s="1557"/>
      <c r="D153" s="289"/>
      <c r="K153" s="1081"/>
      <c r="L153" s="1557"/>
      <c r="M153" s="1557"/>
      <c r="N153" s="1081"/>
      <c r="O153" s="1081"/>
      <c r="P153" s="1081"/>
      <c r="Q153" s="1081"/>
      <c r="R153" s="1557"/>
      <c r="S153" s="1081"/>
      <c r="T153" s="1081"/>
      <c r="U153" s="482"/>
      <c r="V153" s="1081"/>
      <c r="W153" s="1081"/>
      <c r="X153" s="1081"/>
      <c r="Y153" s="1081"/>
      <c r="Z153" s="1081"/>
      <c r="AA153" s="1553"/>
      <c r="AB153" s="504"/>
      <c r="AC153" s="504"/>
      <c r="AD153" s="504"/>
      <c r="AE153" s="504"/>
      <c r="AF153" s="1562">
        <v>11</v>
      </c>
    </row>
    <row r="154" spans="1:32" s="4299" customFormat="1" ht="11.45" customHeight="1">
      <c r="A154" s="913"/>
      <c r="B154" s="1557"/>
      <c r="C154" s="1557"/>
      <c r="D154" s="289"/>
      <c r="K154" s="1081"/>
      <c r="L154" s="1557"/>
      <c r="M154" s="1557"/>
      <c r="N154" s="1081"/>
      <c r="O154" s="1081"/>
      <c r="P154" s="1081"/>
      <c r="Q154" s="1081"/>
      <c r="R154" s="1557"/>
      <c r="S154" s="1081"/>
      <c r="T154" s="1081"/>
      <c r="U154" s="482"/>
      <c r="V154" s="1081"/>
      <c r="W154" s="1081"/>
      <c r="X154" s="1081"/>
      <c r="Y154" s="1081"/>
      <c r="Z154" s="1081"/>
      <c r="AA154" s="1553"/>
      <c r="AB154" s="504"/>
      <c r="AC154" s="504"/>
      <c r="AD154" s="504"/>
      <c r="AE154" s="504"/>
      <c r="AF154" s="1562">
        <v>11</v>
      </c>
    </row>
    <row r="155" spans="1:32" s="4299" customFormat="1" ht="11.45" customHeight="1">
      <c r="A155" s="913"/>
      <c r="B155" s="1557"/>
      <c r="C155" s="1557"/>
      <c r="D155" s="289"/>
      <c r="K155" s="1081"/>
      <c r="L155" s="1557"/>
      <c r="M155" s="1557"/>
      <c r="N155" s="1081"/>
      <c r="O155" s="1081"/>
      <c r="P155" s="1081"/>
      <c r="Q155" s="1081"/>
      <c r="R155" s="1557"/>
      <c r="S155" s="1081"/>
      <c r="T155" s="1081"/>
      <c r="U155" s="482"/>
      <c r="V155" s="1081"/>
      <c r="W155" s="1081"/>
      <c r="X155" s="1081"/>
      <c r="Y155" s="1081"/>
      <c r="Z155" s="1081"/>
      <c r="AA155" s="1553"/>
      <c r="AB155" s="504"/>
      <c r="AC155" s="504"/>
      <c r="AD155" s="504"/>
      <c r="AE155" s="504"/>
      <c r="AF155" s="1562">
        <v>11</v>
      </c>
    </row>
    <row r="156" spans="1:32" s="4299" customFormat="1" ht="11.45" customHeight="1">
      <c r="A156" s="913"/>
      <c r="B156" s="1557"/>
      <c r="C156" s="1557"/>
      <c r="D156" s="289"/>
      <c r="K156" s="1081"/>
      <c r="L156" s="1557"/>
      <c r="M156" s="1557"/>
      <c r="N156" s="1081"/>
      <c r="O156" s="1081"/>
      <c r="P156" s="1081"/>
      <c r="Q156" s="1081"/>
      <c r="R156" s="1557"/>
      <c r="S156" s="1081"/>
      <c r="T156" s="1081"/>
      <c r="U156" s="482"/>
      <c r="V156" s="1081"/>
      <c r="W156" s="1081"/>
      <c r="X156" s="1081"/>
      <c r="Y156" s="1081"/>
      <c r="Z156" s="1081"/>
      <c r="AA156" s="1553"/>
      <c r="AB156" s="504"/>
      <c r="AC156" s="504"/>
      <c r="AD156" s="504"/>
      <c r="AE156" s="504"/>
      <c r="AF156" s="1562">
        <v>11</v>
      </c>
    </row>
    <row r="157" spans="1:32" s="4299" customFormat="1" ht="11.45" customHeight="1">
      <c r="A157" s="913"/>
      <c r="B157" s="1557"/>
      <c r="C157" s="1557"/>
      <c r="D157" s="289"/>
      <c r="K157" s="1081"/>
      <c r="L157" s="1557"/>
      <c r="M157" s="1557"/>
      <c r="N157" s="1081"/>
      <c r="O157" s="1081"/>
      <c r="P157" s="1081"/>
      <c r="Q157" s="1081"/>
      <c r="R157" s="1557"/>
      <c r="S157" s="1081"/>
      <c r="T157" s="1081"/>
      <c r="U157" s="482"/>
      <c r="V157" s="1081"/>
      <c r="W157" s="1081"/>
      <c r="X157" s="1081"/>
      <c r="Y157" s="1081"/>
      <c r="Z157" s="1081"/>
      <c r="AA157" s="1553"/>
      <c r="AB157" s="504"/>
      <c r="AC157" s="504"/>
      <c r="AD157" s="504"/>
      <c r="AE157" s="504"/>
      <c r="AF157" s="1562">
        <v>11</v>
      </c>
    </row>
    <row r="158" spans="1:32" s="4299" customFormat="1" ht="11.45" customHeight="1">
      <c r="A158" s="913"/>
      <c r="B158" s="1557"/>
      <c r="C158" s="1557"/>
      <c r="D158" s="289"/>
      <c r="K158" s="1081"/>
      <c r="L158" s="1557"/>
      <c r="M158" s="1557"/>
      <c r="N158" s="1081"/>
      <c r="O158" s="1081"/>
      <c r="P158" s="1081"/>
      <c r="Q158" s="1081"/>
      <c r="R158" s="1557"/>
      <c r="S158" s="1081"/>
      <c r="T158" s="1081"/>
      <c r="U158" s="482"/>
      <c r="V158" s="1081"/>
      <c r="W158" s="1081"/>
      <c r="X158" s="1081"/>
      <c r="Y158" s="1081"/>
      <c r="Z158" s="1081"/>
      <c r="AA158" s="1553"/>
      <c r="AB158" s="504"/>
      <c r="AC158" s="504"/>
      <c r="AD158" s="504"/>
      <c r="AE158" s="504"/>
      <c r="AF158" s="1562">
        <v>11</v>
      </c>
    </row>
    <row r="159" spans="1:32" s="4299" customFormat="1" ht="11.45" customHeight="1">
      <c r="A159" s="913"/>
      <c r="B159" s="1557"/>
      <c r="C159" s="1557"/>
      <c r="D159" s="289"/>
      <c r="K159" s="1081"/>
      <c r="L159" s="1557"/>
      <c r="M159" s="1557"/>
      <c r="N159" s="1081"/>
      <c r="O159" s="1081"/>
      <c r="P159" s="1081"/>
      <c r="Q159" s="1081"/>
      <c r="R159" s="1557"/>
      <c r="S159" s="1081"/>
      <c r="T159" s="1081"/>
      <c r="U159" s="482"/>
      <c r="V159" s="1081"/>
      <c r="W159" s="1081"/>
      <c r="X159" s="1081"/>
      <c r="Y159" s="1081"/>
      <c r="Z159" s="1081"/>
      <c r="AA159" s="1553"/>
      <c r="AB159" s="504"/>
      <c r="AC159" s="504"/>
      <c r="AD159" s="504"/>
      <c r="AE159" s="504"/>
      <c r="AF159" s="1562">
        <v>11</v>
      </c>
    </row>
    <row r="160" spans="1:32" s="4299" customFormat="1" ht="11.45" customHeight="1">
      <c r="A160" s="913"/>
      <c r="B160" s="1557"/>
      <c r="C160" s="1557"/>
      <c r="D160" s="289"/>
      <c r="K160" s="1081"/>
      <c r="L160" s="1557"/>
      <c r="M160" s="1557"/>
      <c r="N160" s="1081"/>
      <c r="O160" s="1081"/>
      <c r="P160" s="1081"/>
      <c r="Q160" s="1081"/>
      <c r="R160" s="1557"/>
      <c r="S160" s="1081"/>
      <c r="T160" s="1081"/>
      <c r="U160" s="482"/>
      <c r="V160" s="1081"/>
      <c r="W160" s="1081"/>
      <c r="X160" s="1081"/>
      <c r="Y160" s="1081"/>
      <c r="Z160" s="1081"/>
      <c r="AA160" s="1553"/>
      <c r="AB160" s="504"/>
      <c r="AC160" s="504"/>
      <c r="AD160" s="504"/>
      <c r="AE160" s="504"/>
      <c r="AF160" s="1562">
        <v>11</v>
      </c>
    </row>
    <row r="161" spans="1:32" s="4299" customFormat="1" ht="11.45" customHeight="1">
      <c r="A161" s="913"/>
      <c r="B161" s="1557"/>
      <c r="C161" s="1557"/>
      <c r="D161" s="289"/>
      <c r="K161" s="1081"/>
      <c r="L161" s="1557"/>
      <c r="M161" s="1557"/>
      <c r="N161" s="1081"/>
      <c r="O161" s="1081"/>
      <c r="P161" s="1081"/>
      <c r="Q161" s="1081"/>
      <c r="R161" s="1557"/>
      <c r="S161" s="1081"/>
      <c r="T161" s="1081"/>
      <c r="U161" s="482"/>
      <c r="V161" s="1081"/>
      <c r="W161" s="1081"/>
      <c r="X161" s="1081"/>
      <c r="Y161" s="1081"/>
      <c r="Z161" s="1081"/>
      <c r="AA161" s="1553"/>
      <c r="AB161" s="504"/>
      <c r="AC161" s="504"/>
      <c r="AD161" s="504"/>
      <c r="AE161" s="504"/>
      <c r="AF161" s="1562">
        <v>11</v>
      </c>
    </row>
    <row r="162" spans="1:32" s="4299" customFormat="1" ht="11.45" customHeight="1">
      <c r="A162" s="913"/>
      <c r="B162" s="1557"/>
      <c r="C162" s="1557"/>
      <c r="D162" s="289"/>
      <c r="K162" s="1081"/>
      <c r="L162" s="1557"/>
      <c r="M162" s="1557"/>
      <c r="N162" s="1081"/>
      <c r="O162" s="1081"/>
      <c r="P162" s="1081"/>
      <c r="Q162" s="1081"/>
      <c r="R162" s="1557"/>
      <c r="S162" s="1081"/>
      <c r="T162" s="1081"/>
      <c r="U162" s="482"/>
      <c r="V162" s="1081"/>
      <c r="W162" s="1081"/>
      <c r="X162" s="1081"/>
      <c r="Y162" s="1081"/>
      <c r="Z162" s="1081"/>
      <c r="AA162" s="1553"/>
      <c r="AB162" s="504"/>
      <c r="AC162" s="504"/>
      <c r="AD162" s="504"/>
      <c r="AE162" s="504"/>
      <c r="AF162" s="1562">
        <v>11</v>
      </c>
    </row>
    <row r="163" spans="1:32" s="4299" customFormat="1" ht="11.45" customHeight="1">
      <c r="A163" s="913"/>
      <c r="B163" s="1557"/>
      <c r="C163" s="1557"/>
      <c r="D163" s="289"/>
      <c r="K163" s="1081"/>
      <c r="L163" s="1557"/>
      <c r="M163" s="1557"/>
      <c r="N163" s="1081"/>
      <c r="O163" s="1081"/>
      <c r="P163" s="1081"/>
      <c r="Q163" s="1081"/>
      <c r="R163" s="1557"/>
      <c r="S163" s="1081"/>
      <c r="T163" s="1081"/>
      <c r="U163" s="482"/>
      <c r="V163" s="1081"/>
      <c r="W163" s="1081"/>
      <c r="X163" s="1081"/>
      <c r="Y163" s="1081"/>
      <c r="Z163" s="1081"/>
      <c r="AA163" s="1553"/>
      <c r="AB163" s="504"/>
      <c r="AC163" s="504"/>
      <c r="AD163" s="504"/>
      <c r="AE163" s="504"/>
      <c r="AF163" s="1562">
        <v>11</v>
      </c>
    </row>
    <row r="164" spans="1:32" s="4299" customFormat="1" ht="11.45" customHeight="1">
      <c r="A164" s="913"/>
      <c r="B164" s="1557"/>
      <c r="C164" s="1557"/>
      <c r="D164" s="289"/>
      <c r="K164" s="1081"/>
      <c r="L164" s="1557"/>
      <c r="M164" s="1557"/>
      <c r="N164" s="1081"/>
      <c r="O164" s="1081"/>
      <c r="P164" s="1081"/>
      <c r="Q164" s="1081"/>
      <c r="R164" s="1557"/>
      <c r="S164" s="1081"/>
      <c r="T164" s="1081"/>
      <c r="U164" s="482"/>
      <c r="V164" s="1081"/>
      <c r="W164" s="1081"/>
      <c r="X164" s="1081"/>
      <c r="Y164" s="1081"/>
      <c r="Z164" s="1081"/>
      <c r="AA164" s="1553"/>
      <c r="AB164" s="504"/>
      <c r="AC164" s="504"/>
      <c r="AD164" s="504"/>
      <c r="AE164" s="504"/>
      <c r="AF164" s="1562">
        <v>11</v>
      </c>
    </row>
    <row r="165" spans="1:32" s="4299" customFormat="1" ht="11.45" customHeight="1">
      <c r="A165" s="913"/>
      <c r="B165" s="1557"/>
      <c r="C165" s="1557"/>
      <c r="D165" s="289"/>
      <c r="K165" s="1081"/>
      <c r="L165" s="1557"/>
      <c r="M165" s="1557"/>
      <c r="N165" s="1081"/>
      <c r="O165" s="1081"/>
      <c r="P165" s="1081"/>
      <c r="Q165" s="1081"/>
      <c r="R165" s="1557"/>
      <c r="S165" s="1081"/>
      <c r="T165" s="1081"/>
      <c r="U165" s="482"/>
      <c r="V165" s="1081"/>
      <c r="W165" s="1081"/>
      <c r="X165" s="1081"/>
      <c r="Y165" s="1081"/>
      <c r="Z165" s="1081"/>
      <c r="AA165" s="1553"/>
      <c r="AB165" s="504"/>
      <c r="AC165" s="504"/>
      <c r="AD165" s="504"/>
      <c r="AE165" s="504"/>
      <c r="AF165" s="1562">
        <v>11</v>
      </c>
    </row>
    <row r="166" spans="1:32" s="4299" customFormat="1" ht="11.45" customHeight="1">
      <c r="A166" s="913"/>
      <c r="B166" s="1557"/>
      <c r="C166" s="1557"/>
      <c r="D166" s="289"/>
      <c r="K166" s="1081"/>
      <c r="L166" s="1557"/>
      <c r="M166" s="1557"/>
      <c r="N166" s="1081"/>
      <c r="O166" s="1081"/>
      <c r="P166" s="1081"/>
      <c r="Q166" s="1081"/>
      <c r="R166" s="1557"/>
      <c r="S166" s="1081"/>
      <c r="T166" s="1081"/>
      <c r="U166" s="482"/>
      <c r="V166" s="1081"/>
      <c r="W166" s="1081"/>
      <c r="X166" s="1081"/>
      <c r="Y166" s="1081"/>
      <c r="Z166" s="1081"/>
      <c r="AA166" s="1553"/>
      <c r="AB166" s="504"/>
      <c r="AC166" s="504"/>
      <c r="AD166" s="504"/>
      <c r="AE166" s="504"/>
      <c r="AF166" s="1562">
        <v>11</v>
      </c>
    </row>
    <row r="167" spans="1:32" s="4299" customFormat="1" ht="11.45" customHeight="1">
      <c r="A167" s="913"/>
      <c r="B167" s="1557"/>
      <c r="C167" s="1557"/>
      <c r="D167" s="289"/>
      <c r="K167" s="1081"/>
      <c r="L167" s="1557"/>
      <c r="M167" s="1557"/>
      <c r="N167" s="1081"/>
      <c r="O167" s="1081"/>
      <c r="P167" s="1081"/>
      <c r="Q167" s="1081"/>
      <c r="R167" s="1557"/>
      <c r="S167" s="1081"/>
      <c r="T167" s="1081"/>
      <c r="U167" s="482"/>
      <c r="V167" s="1081"/>
      <c r="W167" s="1081"/>
      <c r="X167" s="1081"/>
      <c r="Y167" s="1081"/>
      <c r="Z167" s="1081"/>
      <c r="AA167" s="1553"/>
      <c r="AB167" s="504"/>
      <c r="AC167" s="504"/>
      <c r="AD167" s="504"/>
      <c r="AE167" s="504"/>
      <c r="AF167" s="1562">
        <v>11</v>
      </c>
    </row>
    <row r="168" spans="1:32" s="4299" customFormat="1" ht="11.45" customHeight="1">
      <c r="A168" s="913"/>
      <c r="B168" s="1557"/>
      <c r="C168" s="1557"/>
      <c r="D168" s="289"/>
      <c r="K168" s="1081"/>
      <c r="L168" s="1557"/>
      <c r="M168" s="1557"/>
      <c r="N168" s="1081"/>
      <c r="O168" s="1081"/>
      <c r="P168" s="1081"/>
      <c r="Q168" s="1081"/>
      <c r="R168" s="1557"/>
      <c r="S168" s="1081"/>
      <c r="T168" s="1081"/>
      <c r="U168" s="482"/>
      <c r="V168" s="1081"/>
      <c r="W168" s="1081"/>
      <c r="X168" s="1081"/>
      <c r="Y168" s="1081"/>
      <c r="Z168" s="1081"/>
      <c r="AA168" s="1553"/>
      <c r="AB168" s="504"/>
      <c r="AC168" s="504"/>
      <c r="AD168" s="504"/>
      <c r="AE168" s="504"/>
      <c r="AF168" s="1562">
        <v>11</v>
      </c>
    </row>
    <row r="169" spans="1:32" s="4299" customFormat="1" ht="11.45" customHeight="1">
      <c r="A169" s="913"/>
      <c r="B169" s="1557"/>
      <c r="C169" s="1557"/>
      <c r="D169" s="289"/>
      <c r="K169" s="1081"/>
      <c r="L169" s="1557"/>
      <c r="M169" s="1557"/>
      <c r="N169" s="1081"/>
      <c r="O169" s="1081"/>
      <c r="P169" s="1081"/>
      <c r="Q169" s="1081"/>
      <c r="R169" s="1557"/>
      <c r="S169" s="1081"/>
      <c r="T169" s="1081"/>
      <c r="U169" s="482"/>
      <c r="V169" s="1081"/>
      <c r="W169" s="1081"/>
      <c r="X169" s="1081"/>
      <c r="Y169" s="1081"/>
      <c r="Z169" s="1081"/>
      <c r="AA169" s="1553"/>
      <c r="AB169" s="504"/>
      <c r="AC169" s="504"/>
      <c r="AD169" s="504"/>
      <c r="AE169" s="504"/>
      <c r="AF169" s="1562">
        <v>11</v>
      </c>
    </row>
    <row r="170" spans="1:32" s="4299" customFormat="1" ht="11.45" customHeight="1">
      <c r="A170" s="913"/>
      <c r="B170" s="1557"/>
      <c r="C170" s="1557"/>
      <c r="D170" s="289"/>
      <c r="K170" s="1081"/>
      <c r="L170" s="1557"/>
      <c r="M170" s="1557"/>
      <c r="N170" s="1081"/>
      <c r="O170" s="1081"/>
      <c r="P170" s="1081"/>
      <c r="Q170" s="1081"/>
      <c r="R170" s="1557"/>
      <c r="S170" s="1081"/>
      <c r="T170" s="1081"/>
      <c r="U170" s="482"/>
      <c r="V170" s="1081"/>
      <c r="W170" s="1081"/>
      <c r="X170" s="1081"/>
      <c r="Y170" s="1081"/>
      <c r="Z170" s="1081"/>
      <c r="AA170" s="1553"/>
      <c r="AB170" s="504"/>
      <c r="AC170" s="504"/>
      <c r="AD170" s="504"/>
      <c r="AE170" s="504"/>
      <c r="AF170" s="1562">
        <v>11</v>
      </c>
    </row>
    <row r="171" spans="1:32" s="4299" customFormat="1" ht="11.45" customHeight="1">
      <c r="A171" s="913"/>
      <c r="B171" s="1557"/>
      <c r="C171" s="1557"/>
      <c r="D171" s="289"/>
      <c r="K171" s="1081"/>
      <c r="L171" s="1557"/>
      <c r="M171" s="1557"/>
      <c r="N171" s="1081"/>
      <c r="O171" s="1081"/>
      <c r="P171" s="1081"/>
      <c r="Q171" s="1081"/>
      <c r="R171" s="1557"/>
      <c r="S171" s="1081"/>
      <c r="T171" s="1081"/>
      <c r="U171" s="482"/>
      <c r="V171" s="1081"/>
      <c r="W171" s="1081"/>
      <c r="X171" s="1081"/>
      <c r="Y171" s="1081"/>
      <c r="Z171" s="1081"/>
      <c r="AA171" s="1553"/>
      <c r="AB171" s="504"/>
      <c r="AC171" s="504"/>
      <c r="AD171" s="504"/>
      <c r="AE171" s="504"/>
      <c r="AF171" s="1562">
        <v>11</v>
      </c>
    </row>
    <row r="172" spans="1:32" s="4299" customFormat="1" ht="11.45" customHeight="1">
      <c r="A172" s="913"/>
      <c r="B172" s="1557"/>
      <c r="C172" s="1557"/>
      <c r="D172" s="289"/>
      <c r="K172" s="1081"/>
      <c r="L172" s="1557"/>
      <c r="M172" s="1557"/>
      <c r="N172" s="1081"/>
      <c r="O172" s="1081"/>
      <c r="P172" s="1081"/>
      <c r="Q172" s="1081"/>
      <c r="R172" s="1557"/>
      <c r="S172" s="1081"/>
      <c r="T172" s="1081"/>
      <c r="U172" s="482"/>
      <c r="V172" s="1081"/>
      <c r="W172" s="1081"/>
      <c r="X172" s="1081"/>
      <c r="Y172" s="1081"/>
      <c r="Z172" s="1081"/>
      <c r="AA172" s="1553"/>
      <c r="AB172" s="504"/>
      <c r="AC172" s="504"/>
      <c r="AD172" s="504"/>
      <c r="AE172" s="504"/>
      <c r="AF172" s="1562">
        <v>11</v>
      </c>
    </row>
    <row r="173" spans="1:32" s="4299" customFormat="1" ht="11.45" customHeight="1">
      <c r="A173" s="913"/>
      <c r="B173" s="1557"/>
      <c r="C173" s="1557"/>
      <c r="D173" s="289"/>
      <c r="K173" s="1081"/>
      <c r="L173" s="1557"/>
      <c r="M173" s="1557"/>
      <c r="N173" s="1081"/>
      <c r="O173" s="1081"/>
      <c r="P173" s="1081"/>
      <c r="Q173" s="1081"/>
      <c r="R173" s="1557"/>
      <c r="S173" s="1081"/>
      <c r="T173" s="1081"/>
      <c r="U173" s="482"/>
      <c r="V173" s="1081"/>
      <c r="W173" s="1081"/>
      <c r="X173" s="1081"/>
      <c r="Y173" s="1081"/>
      <c r="Z173" s="1081"/>
      <c r="AA173" s="1553"/>
      <c r="AB173" s="504"/>
      <c r="AC173" s="504"/>
      <c r="AD173" s="504"/>
      <c r="AE173" s="504"/>
      <c r="AF173" s="1562">
        <v>11</v>
      </c>
    </row>
    <row r="174" spans="1:32" s="4299" customFormat="1" ht="11.45" customHeight="1">
      <c r="A174" s="913"/>
      <c r="B174" s="1557"/>
      <c r="C174" s="1557"/>
      <c r="D174" s="289"/>
      <c r="K174" s="1081"/>
      <c r="L174" s="1557"/>
      <c r="M174" s="1557"/>
      <c r="N174" s="1081"/>
      <c r="O174" s="1081"/>
      <c r="P174" s="1081"/>
      <c r="Q174" s="1081"/>
      <c r="R174" s="1557"/>
      <c r="S174" s="1081"/>
      <c r="T174" s="1081"/>
      <c r="U174" s="482"/>
      <c r="V174" s="1081"/>
      <c r="W174" s="1081"/>
      <c r="X174" s="1081"/>
      <c r="Y174" s="1081"/>
      <c r="Z174" s="1081"/>
      <c r="AA174" s="1553"/>
      <c r="AB174" s="504"/>
      <c r="AC174" s="504"/>
      <c r="AD174" s="504"/>
      <c r="AE174" s="504"/>
      <c r="AF174" s="1562">
        <v>11</v>
      </c>
    </row>
    <row r="175" spans="1:32" s="4299" customFormat="1" ht="11.45" customHeight="1">
      <c r="A175" s="913"/>
      <c r="B175" s="1557"/>
      <c r="C175" s="1557"/>
      <c r="D175" s="289"/>
      <c r="K175" s="1081"/>
      <c r="L175" s="1557"/>
      <c r="M175" s="1557"/>
      <c r="N175" s="1081"/>
      <c r="O175" s="1081"/>
      <c r="P175" s="1081"/>
      <c r="Q175" s="1081"/>
      <c r="R175" s="1557"/>
      <c r="S175" s="1081"/>
      <c r="T175" s="1081"/>
      <c r="U175" s="482"/>
      <c r="V175" s="1081"/>
      <c r="W175" s="1081"/>
      <c r="X175" s="1081"/>
      <c r="Y175" s="1081"/>
      <c r="Z175" s="1081"/>
      <c r="AA175" s="1553"/>
      <c r="AB175" s="504"/>
      <c r="AC175" s="504"/>
      <c r="AD175" s="504"/>
      <c r="AE175" s="504"/>
      <c r="AF175" s="1562">
        <v>11</v>
      </c>
    </row>
    <row r="176" spans="1:32" s="4299" customFormat="1" ht="11.45" customHeight="1">
      <c r="A176" s="913"/>
      <c r="B176" s="1557"/>
      <c r="C176" s="1557"/>
      <c r="D176" s="289"/>
      <c r="K176" s="1081"/>
      <c r="L176" s="1557"/>
      <c r="M176" s="1557"/>
      <c r="N176" s="1081"/>
      <c r="O176" s="1081"/>
      <c r="P176" s="1081"/>
      <c r="Q176" s="1081"/>
      <c r="R176" s="1557"/>
      <c r="S176" s="1081"/>
      <c r="T176" s="1081"/>
      <c r="U176" s="482"/>
      <c r="V176" s="1081"/>
      <c r="W176" s="1081"/>
      <c r="X176" s="1081"/>
      <c r="Y176" s="1081"/>
      <c r="Z176" s="1081"/>
      <c r="AA176" s="1553"/>
      <c r="AB176" s="504"/>
      <c r="AC176" s="504"/>
      <c r="AD176" s="504"/>
      <c r="AE176" s="504"/>
      <c r="AF176" s="1562">
        <v>11</v>
      </c>
    </row>
    <row r="177" spans="1:32" s="4299" customFormat="1" ht="11.45" customHeight="1">
      <c r="A177" s="913"/>
      <c r="B177" s="1557"/>
      <c r="C177" s="1557"/>
      <c r="D177" s="289"/>
      <c r="K177" s="1081"/>
      <c r="L177" s="1557"/>
      <c r="M177" s="1557"/>
      <c r="N177" s="1081"/>
      <c r="O177" s="1081"/>
      <c r="P177" s="1081"/>
      <c r="Q177" s="1081"/>
      <c r="R177" s="1557"/>
      <c r="S177" s="1081"/>
      <c r="T177" s="1081"/>
      <c r="U177" s="482"/>
      <c r="V177" s="1081"/>
      <c r="W177" s="1081"/>
      <c r="X177" s="1081"/>
      <c r="Y177" s="1081"/>
      <c r="Z177" s="1081"/>
      <c r="AA177" s="1553"/>
      <c r="AB177" s="504"/>
      <c r="AC177" s="504"/>
      <c r="AD177" s="504"/>
      <c r="AE177" s="504"/>
      <c r="AF177" s="1562">
        <v>11</v>
      </c>
    </row>
    <row r="178" spans="1:32" s="4299" customFormat="1" ht="11.45" customHeight="1">
      <c r="A178" s="913"/>
      <c r="B178" s="1557"/>
      <c r="C178" s="1557"/>
      <c r="D178" s="289"/>
      <c r="K178" s="1081"/>
      <c r="L178" s="1557"/>
      <c r="M178" s="1557"/>
      <c r="N178" s="1081"/>
      <c r="O178" s="1081"/>
      <c r="P178" s="1081"/>
      <c r="Q178" s="1081"/>
      <c r="R178" s="1557"/>
      <c r="S178" s="1081"/>
      <c r="T178" s="1081"/>
      <c r="U178" s="482"/>
      <c r="V178" s="1081"/>
      <c r="W178" s="1081"/>
      <c r="X178" s="1081"/>
      <c r="Y178" s="1081"/>
      <c r="Z178" s="1081"/>
      <c r="AA178" s="1553"/>
      <c r="AB178" s="504"/>
      <c r="AC178" s="504"/>
      <c r="AD178" s="504"/>
      <c r="AE178" s="504"/>
      <c r="AF178" s="1562">
        <v>11</v>
      </c>
    </row>
    <row r="179" spans="1:32" s="4299" customFormat="1" ht="11.45" customHeight="1">
      <c r="A179" s="913"/>
      <c r="B179" s="1557"/>
      <c r="C179" s="1557"/>
      <c r="D179" s="289"/>
      <c r="K179" s="1081"/>
      <c r="L179" s="1557"/>
      <c r="M179" s="1557"/>
      <c r="N179" s="1081"/>
      <c r="O179" s="1081"/>
      <c r="P179" s="1081"/>
      <c r="Q179" s="1081"/>
      <c r="R179" s="1557"/>
      <c r="S179" s="1081"/>
      <c r="T179" s="1081"/>
      <c r="U179" s="482"/>
      <c r="V179" s="1081"/>
      <c r="W179" s="1081"/>
      <c r="X179" s="1081"/>
      <c r="Y179" s="1081"/>
      <c r="Z179" s="1081"/>
      <c r="AA179" s="1553"/>
      <c r="AB179" s="504"/>
      <c r="AC179" s="504"/>
      <c r="AD179" s="504"/>
      <c r="AE179" s="504"/>
      <c r="AF179" s="1562">
        <v>11</v>
      </c>
    </row>
    <row r="180" spans="1:32" s="4299" customFormat="1" ht="11.45" customHeight="1">
      <c r="A180" s="913"/>
      <c r="B180" s="1557"/>
      <c r="C180" s="1557"/>
      <c r="D180" s="289"/>
      <c r="K180" s="1081"/>
      <c r="L180" s="1557"/>
      <c r="M180" s="1557"/>
      <c r="N180" s="1081"/>
      <c r="O180" s="1081"/>
      <c r="P180" s="1081"/>
      <c r="Q180" s="1081"/>
      <c r="R180" s="1557"/>
      <c r="S180" s="1081"/>
      <c r="T180" s="1081"/>
      <c r="U180" s="482"/>
      <c r="V180" s="1081"/>
      <c r="W180" s="1081"/>
      <c r="X180" s="1081"/>
      <c r="Y180" s="1081"/>
      <c r="Z180" s="1081"/>
      <c r="AA180" s="1553"/>
      <c r="AB180" s="504"/>
      <c r="AC180" s="504"/>
      <c r="AD180" s="504"/>
      <c r="AE180" s="504"/>
      <c r="AF180" s="1562">
        <v>11</v>
      </c>
    </row>
    <row r="181" spans="1:32" s="4299" customFormat="1" ht="11.45" customHeight="1">
      <c r="A181" s="913"/>
      <c r="B181" s="1557"/>
      <c r="C181" s="1557"/>
      <c r="D181" s="289"/>
      <c r="K181" s="1081"/>
      <c r="L181" s="1557"/>
      <c r="M181" s="1557"/>
      <c r="N181" s="1081"/>
      <c r="O181" s="1081"/>
      <c r="P181" s="1081"/>
      <c r="Q181" s="1081"/>
      <c r="R181" s="1557"/>
      <c r="S181" s="1081"/>
      <c r="T181" s="1081"/>
      <c r="U181" s="482"/>
      <c r="V181" s="1081"/>
      <c r="W181" s="1081"/>
      <c r="X181" s="1081"/>
      <c r="Y181" s="1081"/>
      <c r="Z181" s="1081"/>
      <c r="AA181" s="1553"/>
      <c r="AB181" s="504"/>
      <c r="AC181" s="504"/>
      <c r="AD181" s="504"/>
      <c r="AE181" s="504"/>
      <c r="AF181" s="1562">
        <v>11</v>
      </c>
    </row>
    <row r="182" spans="1:32" s="4299" customFormat="1" ht="11.45" customHeight="1">
      <c r="A182" s="913"/>
      <c r="B182" s="1557"/>
      <c r="C182" s="1557"/>
      <c r="D182" s="289"/>
      <c r="K182" s="1081"/>
      <c r="L182" s="1557"/>
      <c r="M182" s="1557"/>
      <c r="N182" s="1081"/>
      <c r="O182" s="1081"/>
      <c r="P182" s="1081"/>
      <c r="Q182" s="1081"/>
      <c r="R182" s="1557"/>
      <c r="S182" s="1081"/>
      <c r="T182" s="1081"/>
      <c r="U182" s="482"/>
      <c r="V182" s="1081"/>
      <c r="W182" s="1081"/>
      <c r="X182" s="1081"/>
      <c r="Y182" s="1081"/>
      <c r="Z182" s="1081"/>
      <c r="AA182" s="1553"/>
      <c r="AB182" s="504"/>
      <c r="AC182" s="504"/>
      <c r="AD182" s="504"/>
      <c r="AE182" s="504"/>
      <c r="AF182" s="1562">
        <v>11</v>
      </c>
    </row>
    <row r="183" spans="1:32" s="4299" customFormat="1" ht="11.45" customHeight="1">
      <c r="A183" s="913"/>
      <c r="B183" s="1557"/>
      <c r="C183" s="1557"/>
      <c r="D183" s="289"/>
      <c r="K183" s="1081"/>
      <c r="L183" s="1557"/>
      <c r="M183" s="1557"/>
      <c r="N183" s="1081"/>
      <c r="O183" s="1081"/>
      <c r="P183" s="1081"/>
      <c r="Q183" s="1081"/>
      <c r="R183" s="1557"/>
      <c r="S183" s="1081"/>
      <c r="T183" s="1081"/>
      <c r="U183" s="482"/>
      <c r="V183" s="1081"/>
      <c r="W183" s="1081"/>
      <c r="X183" s="1081"/>
      <c r="Y183" s="1081"/>
      <c r="Z183" s="1081"/>
      <c r="AA183" s="1553"/>
      <c r="AB183" s="504"/>
      <c r="AC183" s="504"/>
      <c r="AD183" s="504"/>
      <c r="AE183" s="504"/>
      <c r="AF183" s="1562">
        <v>11</v>
      </c>
    </row>
    <row r="184" spans="1:32" s="4299" customFormat="1" ht="11.45" customHeight="1">
      <c r="A184" s="913"/>
      <c r="B184" s="1557"/>
      <c r="C184" s="1557"/>
      <c r="D184" s="289"/>
      <c r="K184" s="1081"/>
      <c r="L184" s="1557"/>
      <c r="M184" s="1557"/>
      <c r="N184" s="1081"/>
      <c r="O184" s="1081"/>
      <c r="P184" s="1081"/>
      <c r="Q184" s="1081"/>
      <c r="R184" s="1557"/>
      <c r="S184" s="1081"/>
      <c r="T184" s="1081"/>
      <c r="U184" s="482"/>
      <c r="V184" s="1081"/>
      <c r="W184" s="1081"/>
      <c r="X184" s="1081"/>
      <c r="Y184" s="1081"/>
      <c r="Z184" s="1081"/>
      <c r="AA184" s="1553"/>
      <c r="AB184" s="504"/>
      <c r="AC184" s="504"/>
      <c r="AD184" s="504"/>
      <c r="AE184" s="504"/>
      <c r="AF184" s="1562">
        <v>11</v>
      </c>
    </row>
    <row r="185" spans="1:32" s="4299" customFormat="1" ht="11.45" customHeight="1">
      <c r="A185" s="913"/>
      <c r="B185" s="1557"/>
      <c r="C185" s="1557"/>
      <c r="D185" s="289"/>
      <c r="K185" s="1081"/>
      <c r="L185" s="1557"/>
      <c r="M185" s="1557"/>
      <c r="N185" s="1081"/>
      <c r="O185" s="1081"/>
      <c r="P185" s="1081"/>
      <c r="Q185" s="1081"/>
      <c r="R185" s="1557"/>
      <c r="S185" s="1081"/>
      <c r="T185" s="1081"/>
      <c r="U185" s="482"/>
      <c r="V185" s="1081"/>
      <c r="W185" s="1081"/>
      <c r="X185" s="1081"/>
      <c r="Y185" s="1081"/>
      <c r="Z185" s="1081"/>
      <c r="AA185" s="1553"/>
      <c r="AB185" s="504"/>
      <c r="AC185" s="504"/>
      <c r="AD185" s="504"/>
      <c r="AE185" s="504"/>
      <c r="AF185" s="1562">
        <v>11</v>
      </c>
    </row>
    <row r="186" spans="1:32" s="4299" customFormat="1" ht="11.45" customHeight="1">
      <c r="A186" s="913"/>
      <c r="B186" s="1557"/>
      <c r="C186" s="1557"/>
      <c r="D186" s="289"/>
      <c r="K186" s="1081"/>
      <c r="L186" s="1557"/>
      <c r="M186" s="1557"/>
      <c r="N186" s="1081"/>
      <c r="O186" s="1081"/>
      <c r="P186" s="1081"/>
      <c r="Q186" s="1081"/>
      <c r="R186" s="1557"/>
      <c r="S186" s="1081"/>
      <c r="T186" s="1081"/>
      <c r="U186" s="482"/>
      <c r="V186" s="1081"/>
      <c r="W186" s="1081"/>
      <c r="X186" s="1081"/>
      <c r="Y186" s="1081"/>
      <c r="Z186" s="1081"/>
      <c r="AA186" s="1553"/>
      <c r="AB186" s="504"/>
      <c r="AC186" s="504"/>
      <c r="AD186" s="504"/>
      <c r="AE186" s="504"/>
      <c r="AF186" s="1562">
        <v>11</v>
      </c>
    </row>
    <row r="187" spans="1:32" s="4299" customFormat="1" ht="11.45" customHeight="1">
      <c r="A187" s="913"/>
      <c r="B187" s="1557"/>
      <c r="C187" s="1557"/>
      <c r="D187" s="289"/>
      <c r="K187" s="1081"/>
      <c r="L187" s="1557"/>
      <c r="M187" s="1557"/>
      <c r="N187" s="1081"/>
      <c r="O187" s="1081"/>
      <c r="P187" s="1081"/>
      <c r="Q187" s="1081"/>
      <c r="R187" s="1557"/>
      <c r="S187" s="1081"/>
      <c r="T187" s="1081"/>
      <c r="U187" s="482"/>
      <c r="V187" s="1081"/>
      <c r="W187" s="1081"/>
      <c r="X187" s="1081"/>
      <c r="Y187" s="1081"/>
      <c r="Z187" s="1081"/>
      <c r="AA187" s="1553"/>
      <c r="AB187" s="504"/>
      <c r="AC187" s="504"/>
      <c r="AD187" s="504"/>
      <c r="AE187" s="504"/>
      <c r="AF187" s="1562">
        <v>11</v>
      </c>
    </row>
    <row r="188" spans="1:32" s="4299" customFormat="1" ht="11.45" customHeight="1">
      <c r="A188" s="913"/>
      <c r="B188" s="1557"/>
      <c r="C188" s="1557"/>
      <c r="D188" s="289"/>
      <c r="K188" s="1081"/>
      <c r="L188" s="1557"/>
      <c r="M188" s="1557"/>
      <c r="N188" s="1081"/>
      <c r="O188" s="1081"/>
      <c r="P188" s="1081"/>
      <c r="Q188" s="1081"/>
      <c r="R188" s="1557"/>
      <c r="S188" s="1081"/>
      <c r="T188" s="1081"/>
      <c r="U188" s="482"/>
      <c r="V188" s="1081"/>
      <c r="W188" s="1081"/>
      <c r="X188" s="1081"/>
      <c r="Y188" s="1081"/>
      <c r="Z188" s="1081"/>
      <c r="AA188" s="1553"/>
      <c r="AB188" s="504"/>
      <c r="AC188" s="504"/>
      <c r="AD188" s="504"/>
      <c r="AE188" s="504"/>
      <c r="AF188" s="1562">
        <v>11</v>
      </c>
    </row>
    <row r="189" spans="1:32" s="4299" customFormat="1" ht="11.45" customHeight="1">
      <c r="A189" s="913"/>
      <c r="B189" s="1557"/>
      <c r="C189" s="1557"/>
      <c r="D189" s="289"/>
      <c r="K189" s="1081"/>
      <c r="L189" s="1557"/>
      <c r="M189" s="1557"/>
      <c r="N189" s="1081"/>
      <c r="O189" s="1081"/>
      <c r="P189" s="1081"/>
      <c r="Q189" s="1081"/>
      <c r="R189" s="1557"/>
      <c r="S189" s="1081"/>
      <c r="T189" s="1081"/>
      <c r="U189" s="482"/>
      <c r="V189" s="1081"/>
      <c r="W189" s="1081"/>
      <c r="X189" s="1081"/>
      <c r="Y189" s="1081"/>
      <c r="Z189" s="1081"/>
      <c r="AA189" s="1553"/>
      <c r="AB189" s="504"/>
      <c r="AC189" s="504"/>
      <c r="AD189" s="504"/>
      <c r="AE189" s="504"/>
      <c r="AF189" s="1562">
        <v>11</v>
      </c>
    </row>
    <row r="190" spans="1:32" s="4299" customFormat="1" ht="11.45" customHeight="1">
      <c r="A190" s="913"/>
      <c r="B190" s="1557"/>
      <c r="C190" s="1557"/>
      <c r="D190" s="289"/>
      <c r="K190" s="1081"/>
      <c r="L190" s="1557"/>
      <c r="M190" s="1557"/>
      <c r="N190" s="1081"/>
      <c r="O190" s="1081"/>
      <c r="P190" s="1081"/>
      <c r="Q190" s="1081"/>
      <c r="R190" s="1557"/>
      <c r="S190" s="1081"/>
      <c r="T190" s="1081"/>
      <c r="U190" s="482"/>
      <c r="V190" s="1081"/>
      <c r="W190" s="1081"/>
      <c r="X190" s="1081"/>
      <c r="Y190" s="1081"/>
      <c r="Z190" s="1081"/>
      <c r="AA190" s="1553"/>
      <c r="AB190" s="504"/>
      <c r="AC190" s="504"/>
      <c r="AD190" s="504"/>
      <c r="AE190" s="504"/>
      <c r="AF190" s="1562">
        <v>11</v>
      </c>
    </row>
    <row r="191" spans="1:32" s="4299" customFormat="1" ht="11.45" customHeight="1">
      <c r="A191" s="913"/>
      <c r="B191" s="1557"/>
      <c r="C191" s="1557"/>
      <c r="D191" s="289"/>
      <c r="K191" s="1081"/>
      <c r="L191" s="1557"/>
      <c r="M191" s="1557"/>
      <c r="N191" s="1081"/>
      <c r="O191" s="1081"/>
      <c r="P191" s="1081"/>
      <c r="Q191" s="1081"/>
      <c r="R191" s="1557"/>
      <c r="S191" s="1081"/>
      <c r="T191" s="1081"/>
      <c r="U191" s="482"/>
      <c r="V191" s="1081"/>
      <c r="W191" s="1081"/>
      <c r="X191" s="1081"/>
      <c r="Y191" s="1081"/>
      <c r="Z191" s="1081"/>
      <c r="AA191" s="1553"/>
      <c r="AB191" s="504"/>
      <c r="AC191" s="504"/>
      <c r="AD191" s="504"/>
      <c r="AE191" s="504"/>
      <c r="AF191" s="1562">
        <v>11</v>
      </c>
    </row>
    <row r="192" spans="1:32" s="4299" customFormat="1" ht="11.45" customHeight="1">
      <c r="A192" s="913"/>
      <c r="B192" s="1557"/>
      <c r="C192" s="1557"/>
      <c r="D192" s="289"/>
      <c r="K192" s="1081"/>
      <c r="L192" s="1557"/>
      <c r="M192" s="1557"/>
      <c r="N192" s="1081"/>
      <c r="O192" s="1081"/>
      <c r="P192" s="1081"/>
      <c r="Q192" s="1081"/>
      <c r="R192" s="1557"/>
      <c r="S192" s="1081"/>
      <c r="T192" s="1081"/>
      <c r="U192" s="482"/>
      <c r="V192" s="1081"/>
      <c r="W192" s="1081"/>
      <c r="X192" s="1081"/>
      <c r="Y192" s="1081"/>
      <c r="Z192" s="1081"/>
      <c r="AA192" s="1553"/>
      <c r="AB192" s="504"/>
      <c r="AC192" s="504"/>
      <c r="AD192" s="504"/>
      <c r="AE192" s="504"/>
      <c r="AF192" s="1562">
        <v>11</v>
      </c>
    </row>
    <row r="193" spans="1:32" s="4299" customFormat="1" ht="11.45" customHeight="1">
      <c r="A193" s="913"/>
      <c r="B193" s="1557"/>
      <c r="C193" s="1557"/>
      <c r="D193" s="289"/>
      <c r="K193" s="1081"/>
      <c r="L193" s="1557"/>
      <c r="M193" s="1557"/>
      <c r="N193" s="1081"/>
      <c r="O193" s="1081"/>
      <c r="P193" s="1081"/>
      <c r="Q193" s="1081"/>
      <c r="R193" s="1557"/>
      <c r="S193" s="1081"/>
      <c r="T193" s="1081"/>
      <c r="U193" s="482"/>
      <c r="V193" s="1081"/>
      <c r="W193" s="1081"/>
      <c r="X193" s="1081"/>
      <c r="Y193" s="1081"/>
      <c r="Z193" s="1081"/>
      <c r="AA193" s="1553"/>
      <c r="AB193" s="504"/>
      <c r="AC193" s="504"/>
      <c r="AD193" s="504"/>
      <c r="AE193" s="504"/>
      <c r="AF193" s="1562">
        <v>11</v>
      </c>
    </row>
    <row r="194" spans="1:32" s="4299" customFormat="1" ht="11.45" customHeight="1">
      <c r="A194" s="913"/>
      <c r="B194" s="1557"/>
      <c r="C194" s="1557"/>
      <c r="D194" s="289"/>
      <c r="K194" s="1081"/>
      <c r="L194" s="1557"/>
      <c r="M194" s="1557"/>
      <c r="N194" s="1081"/>
      <c r="O194" s="1081"/>
      <c r="P194" s="1081"/>
      <c r="Q194" s="1081"/>
      <c r="R194" s="1557"/>
      <c r="S194" s="1081"/>
      <c r="T194" s="1081"/>
      <c r="U194" s="482"/>
      <c r="V194" s="1081"/>
      <c r="W194" s="1081"/>
      <c r="X194" s="1081"/>
      <c r="Y194" s="1081"/>
      <c r="Z194" s="1081"/>
      <c r="AA194" s="1553"/>
      <c r="AB194" s="504"/>
      <c r="AC194" s="504"/>
      <c r="AD194" s="504"/>
      <c r="AE194" s="504"/>
      <c r="AF194" s="1562">
        <v>11</v>
      </c>
    </row>
    <row r="195" spans="1:32" s="4299" customFormat="1" ht="11.45" customHeight="1">
      <c r="A195" s="913"/>
      <c r="B195" s="1557"/>
      <c r="C195" s="1557"/>
      <c r="D195" s="289"/>
      <c r="K195" s="1081"/>
      <c r="L195" s="1557"/>
      <c r="M195" s="1557"/>
      <c r="N195" s="1081"/>
      <c r="O195" s="1081"/>
      <c r="P195" s="1081"/>
      <c r="Q195" s="1081"/>
      <c r="R195" s="1557"/>
      <c r="S195" s="1081"/>
      <c r="T195" s="1081"/>
      <c r="U195" s="482"/>
      <c r="V195" s="1081"/>
      <c r="W195" s="1081"/>
      <c r="X195" s="1081"/>
      <c r="Y195" s="1081"/>
      <c r="Z195" s="1081"/>
      <c r="AA195" s="1553"/>
      <c r="AB195" s="504"/>
      <c r="AC195" s="504"/>
      <c r="AD195" s="504"/>
      <c r="AE195" s="504"/>
      <c r="AF195" s="1562">
        <v>11</v>
      </c>
    </row>
    <row r="196" spans="1:32" s="4299" customFormat="1" ht="11.45" customHeight="1">
      <c r="A196" s="913"/>
      <c r="B196" s="1557"/>
      <c r="C196" s="1557"/>
      <c r="D196" s="289"/>
      <c r="K196" s="1081"/>
      <c r="L196" s="1557"/>
      <c r="M196" s="1557"/>
      <c r="N196" s="1081"/>
      <c r="O196" s="1081"/>
      <c r="P196" s="1081"/>
      <c r="Q196" s="1081"/>
      <c r="R196" s="1557"/>
      <c r="S196" s="1081"/>
      <c r="T196" s="1081"/>
      <c r="U196" s="482"/>
      <c r="V196" s="1081"/>
      <c r="W196" s="1081"/>
      <c r="X196" s="1081"/>
      <c r="Y196" s="1081"/>
      <c r="Z196" s="1081"/>
      <c r="AA196" s="1553"/>
      <c r="AB196" s="504"/>
      <c r="AC196" s="504"/>
      <c r="AD196" s="504"/>
      <c r="AE196" s="504"/>
      <c r="AF196" s="1562">
        <v>11</v>
      </c>
    </row>
    <row r="197" spans="1:32" s="4299" customFormat="1" ht="11.45" customHeight="1">
      <c r="A197" s="913"/>
      <c r="B197" s="1557"/>
      <c r="C197" s="1557"/>
      <c r="D197" s="289"/>
      <c r="K197" s="1081"/>
      <c r="L197" s="1557"/>
      <c r="M197" s="1557"/>
      <c r="N197" s="1081"/>
      <c r="O197" s="1081"/>
      <c r="P197" s="1081"/>
      <c r="Q197" s="1081"/>
      <c r="R197" s="1557"/>
      <c r="S197" s="1081"/>
      <c r="T197" s="1081"/>
      <c r="U197" s="482"/>
      <c r="V197" s="1081"/>
      <c r="W197" s="1081"/>
      <c r="X197" s="1081"/>
      <c r="Y197" s="1081"/>
      <c r="Z197" s="1081"/>
      <c r="AA197" s="1553"/>
      <c r="AB197" s="504"/>
      <c r="AC197" s="504"/>
      <c r="AD197" s="504"/>
      <c r="AE197" s="504"/>
      <c r="AF197" s="1562">
        <v>11</v>
      </c>
    </row>
    <row r="198" spans="1:32" s="4299" customFormat="1" ht="11.45" customHeight="1">
      <c r="A198" s="913"/>
      <c r="B198" s="1557"/>
      <c r="C198" s="1557"/>
      <c r="D198" s="289"/>
      <c r="K198" s="1081"/>
      <c r="L198" s="1557"/>
      <c r="M198" s="1557"/>
      <c r="N198" s="1081"/>
      <c r="O198" s="1081"/>
      <c r="P198" s="1081"/>
      <c r="Q198" s="1081"/>
      <c r="R198" s="1557"/>
      <c r="S198" s="1081"/>
      <c r="T198" s="1081"/>
      <c r="U198" s="482"/>
      <c r="V198" s="1081"/>
      <c r="W198" s="1081"/>
      <c r="X198" s="1081"/>
      <c r="Y198" s="1081"/>
      <c r="Z198" s="1081"/>
      <c r="AA198" s="1553"/>
      <c r="AB198" s="504"/>
      <c r="AC198" s="504"/>
      <c r="AD198" s="504"/>
      <c r="AE198" s="504"/>
      <c r="AF198" s="1562">
        <v>11</v>
      </c>
    </row>
    <row r="199" spans="1:32" s="4299" customFormat="1" ht="11.45" customHeight="1">
      <c r="A199" s="913"/>
      <c r="B199" s="1557"/>
      <c r="C199" s="1557"/>
      <c r="D199" s="289"/>
      <c r="K199" s="1081"/>
      <c r="L199" s="1557"/>
      <c r="M199" s="1557"/>
      <c r="N199" s="1081"/>
      <c r="O199" s="1081"/>
      <c r="P199" s="1081"/>
      <c r="Q199" s="1081"/>
      <c r="R199" s="1557"/>
      <c r="S199" s="1081"/>
      <c r="T199" s="1081"/>
      <c r="U199" s="482"/>
      <c r="V199" s="1081"/>
      <c r="W199" s="1081"/>
      <c r="X199" s="1081"/>
      <c r="Y199" s="1081"/>
      <c r="Z199" s="1081"/>
      <c r="AA199" s="1553"/>
      <c r="AB199" s="504"/>
      <c r="AC199" s="504"/>
      <c r="AD199" s="504"/>
      <c r="AE199" s="504"/>
      <c r="AF199" s="1562">
        <v>11</v>
      </c>
    </row>
    <row r="200" spans="1:32" s="4299" customFormat="1" ht="11.45" customHeight="1">
      <c r="A200" s="913"/>
      <c r="B200" s="1557"/>
      <c r="C200" s="1557"/>
      <c r="D200" s="289"/>
      <c r="K200" s="1081"/>
      <c r="L200" s="1557"/>
      <c r="M200" s="1557"/>
      <c r="N200" s="1081"/>
      <c r="O200" s="1081"/>
      <c r="P200" s="1081"/>
      <c r="Q200" s="1081"/>
      <c r="R200" s="1557"/>
      <c r="S200" s="1081"/>
      <c r="T200" s="1081"/>
      <c r="U200" s="482"/>
      <c r="V200" s="1081"/>
      <c r="W200" s="1081"/>
      <c r="X200" s="1081"/>
      <c r="Y200" s="1081"/>
      <c r="Z200" s="1081"/>
      <c r="AA200" s="1553"/>
      <c r="AB200" s="504"/>
      <c r="AC200" s="504"/>
      <c r="AD200" s="504"/>
      <c r="AE200" s="504"/>
      <c r="AF200" s="1562">
        <v>11</v>
      </c>
    </row>
    <row r="201" spans="1:32" s="4299" customFormat="1" ht="11.45" customHeight="1">
      <c r="A201" s="913"/>
      <c r="B201" s="1557"/>
      <c r="C201" s="1557"/>
      <c r="D201" s="289"/>
      <c r="K201" s="1081"/>
      <c r="L201" s="1557"/>
      <c r="M201" s="1557"/>
      <c r="N201" s="1081"/>
      <c r="O201" s="1081"/>
      <c r="P201" s="1081"/>
      <c r="Q201" s="1081"/>
      <c r="R201" s="1557"/>
      <c r="S201" s="1081"/>
      <c r="T201" s="1081"/>
      <c r="U201" s="482"/>
      <c r="V201" s="1081"/>
      <c r="W201" s="1081"/>
      <c r="X201" s="1081"/>
      <c r="Y201" s="1081"/>
      <c r="Z201" s="1081"/>
      <c r="AA201" s="1553"/>
      <c r="AB201" s="504"/>
      <c r="AC201" s="504"/>
      <c r="AD201" s="504"/>
      <c r="AE201" s="504"/>
      <c r="AF201" s="1562">
        <v>11</v>
      </c>
    </row>
    <row r="202" spans="1:32" s="4299" customFormat="1" ht="11.45" customHeight="1">
      <c r="A202" s="913"/>
      <c r="B202" s="1557"/>
      <c r="C202" s="1557"/>
      <c r="D202" s="289"/>
      <c r="K202" s="1081"/>
      <c r="L202" s="1557"/>
      <c r="M202" s="1557"/>
      <c r="N202" s="1081"/>
      <c r="O202" s="1081"/>
      <c r="P202" s="1081"/>
      <c r="Q202" s="1081"/>
      <c r="R202" s="1557"/>
      <c r="S202" s="1081"/>
      <c r="T202" s="1081"/>
      <c r="U202" s="482"/>
      <c r="V202" s="1081"/>
      <c r="W202" s="1081"/>
      <c r="X202" s="1081"/>
      <c r="Y202" s="1081"/>
      <c r="Z202" s="1081"/>
      <c r="AA202" s="1553"/>
      <c r="AB202" s="504"/>
      <c r="AC202" s="504"/>
      <c r="AD202" s="504"/>
      <c r="AE202" s="504"/>
      <c r="AF202" s="1562">
        <v>11</v>
      </c>
    </row>
    <row r="203" spans="1:32" ht="11.45" customHeight="1">
      <c r="AF203" s="1552">
        <v>11</v>
      </c>
    </row>
    <row r="204" spans="1:32" ht="11.45" customHeight="1">
      <c r="AF204" s="1552">
        <v>11</v>
      </c>
    </row>
    <row r="205" spans="1:32" ht="11.45" customHeight="1">
      <c r="AF205" s="1552">
        <v>11</v>
      </c>
    </row>
    <row r="206" spans="1:32" ht="11.45" customHeight="1">
      <c r="A206" s="916"/>
      <c r="B206" s="1552"/>
      <c r="D206" s="1552"/>
      <c r="K206" s="1552"/>
      <c r="N206" s="1552"/>
      <c r="O206" s="1552"/>
      <c r="P206" s="1552"/>
      <c r="Q206" s="1552"/>
      <c r="S206" s="1552"/>
      <c r="T206" s="1552"/>
      <c r="U206" s="1552"/>
      <c r="V206" s="1552"/>
      <c r="W206" s="1552"/>
      <c r="X206" s="1552"/>
      <c r="Y206" s="1552"/>
      <c r="Z206" s="1552"/>
      <c r="AA206" s="1552"/>
      <c r="AB206" s="1552"/>
      <c r="AC206" s="1552"/>
      <c r="AD206" s="1552"/>
      <c r="AE206" s="1552"/>
      <c r="AF206" s="1552">
        <v>11</v>
      </c>
    </row>
    <row r="207" spans="1:32" ht="11.45" customHeight="1">
      <c r="A207" s="916"/>
      <c r="B207" s="1552"/>
      <c r="D207" s="1552"/>
      <c r="K207" s="1552"/>
      <c r="N207" s="1552"/>
      <c r="O207" s="1552"/>
      <c r="P207" s="1552"/>
      <c r="Q207" s="1552"/>
      <c r="S207" s="1552"/>
      <c r="T207" s="1552"/>
      <c r="U207" s="1552"/>
      <c r="V207" s="1552"/>
      <c r="W207" s="1552"/>
      <c r="X207" s="1552"/>
      <c r="Y207" s="1552"/>
      <c r="Z207" s="1552"/>
      <c r="AA207" s="1552"/>
      <c r="AB207" s="1552"/>
      <c r="AC207" s="1552"/>
      <c r="AD207" s="1552"/>
      <c r="AE207" s="1552"/>
      <c r="AF207" s="1552">
        <v>11</v>
      </c>
    </row>
    <row r="208" spans="1:32" ht="11.45" customHeight="1">
      <c r="A208" s="916"/>
      <c r="B208" s="1552"/>
      <c r="D208" s="1552"/>
      <c r="K208" s="1552"/>
      <c r="N208" s="1552"/>
      <c r="O208" s="1552"/>
      <c r="P208" s="1552"/>
      <c r="Q208" s="1552"/>
      <c r="S208" s="1552"/>
      <c r="T208" s="1552"/>
      <c r="U208" s="1552"/>
      <c r="V208" s="1552"/>
      <c r="W208" s="1552"/>
      <c r="X208" s="1552"/>
      <c r="Y208" s="1552"/>
      <c r="Z208" s="1552"/>
      <c r="AA208" s="1552"/>
      <c r="AB208" s="1552"/>
      <c r="AC208" s="1552"/>
      <c r="AD208" s="1552"/>
      <c r="AE208" s="1552"/>
      <c r="AF208" s="1552">
        <v>11</v>
      </c>
    </row>
    <row r="209" spans="1:32" ht="11.45" customHeight="1">
      <c r="A209" s="916"/>
      <c r="B209" s="1552"/>
      <c r="D209" s="1552"/>
      <c r="K209" s="1552"/>
      <c r="N209" s="1552"/>
      <c r="O209" s="1552"/>
      <c r="P209" s="1552"/>
      <c r="Q209" s="1552"/>
      <c r="S209" s="1552"/>
      <c r="T209" s="1552"/>
      <c r="U209" s="1552"/>
      <c r="V209" s="1552"/>
      <c r="W209" s="1552"/>
      <c r="X209" s="1552"/>
      <c r="Y209" s="1552"/>
      <c r="Z209" s="1552"/>
      <c r="AA209" s="1552"/>
      <c r="AB209" s="1552"/>
      <c r="AC209" s="1552"/>
      <c r="AD209" s="1552"/>
      <c r="AE209" s="1552"/>
      <c r="AF209" s="1552">
        <v>11</v>
      </c>
    </row>
    <row r="210" spans="1:32" ht="11.45" customHeight="1">
      <c r="A210" s="916"/>
      <c r="B210" s="1552"/>
      <c r="D210" s="1552"/>
      <c r="K210" s="1552"/>
      <c r="N210" s="1552"/>
      <c r="O210" s="1552"/>
      <c r="P210" s="1552"/>
      <c r="Q210" s="1552"/>
      <c r="S210" s="1552"/>
      <c r="T210" s="1552"/>
      <c r="U210" s="1552"/>
      <c r="V210" s="1552"/>
      <c r="W210" s="1552"/>
      <c r="X210" s="1552"/>
      <c r="Y210" s="1552"/>
      <c r="Z210" s="1552"/>
      <c r="AA210" s="1552"/>
      <c r="AB210" s="1552"/>
      <c r="AC210" s="1552"/>
      <c r="AD210" s="1552"/>
      <c r="AE210" s="1552"/>
      <c r="AF210" s="1552">
        <v>11</v>
      </c>
    </row>
    <row r="211" spans="1:32" ht="11.45" customHeight="1">
      <c r="A211" s="916"/>
      <c r="B211" s="1552"/>
      <c r="D211" s="1552"/>
      <c r="K211" s="1552"/>
      <c r="N211" s="1552"/>
      <c r="O211" s="1552"/>
      <c r="P211" s="1552"/>
      <c r="Q211" s="1552"/>
      <c r="S211" s="1552"/>
      <c r="T211" s="1552"/>
      <c r="U211" s="1552"/>
      <c r="V211" s="1552"/>
      <c r="W211" s="1552"/>
      <c r="X211" s="1552"/>
      <c r="Y211" s="1552"/>
      <c r="Z211" s="1552"/>
      <c r="AA211" s="1552"/>
      <c r="AB211" s="1552"/>
      <c r="AC211" s="1552"/>
      <c r="AD211" s="1552"/>
      <c r="AE211" s="1552"/>
      <c r="AF211" s="1552">
        <v>11</v>
      </c>
    </row>
    <row r="212" spans="1:32" ht="11.45" customHeight="1">
      <c r="A212" s="916"/>
      <c r="B212" s="1552"/>
      <c r="D212" s="1552"/>
      <c r="K212" s="1552"/>
      <c r="N212" s="1552"/>
      <c r="O212" s="1552"/>
      <c r="P212" s="1552"/>
      <c r="Q212" s="1552"/>
      <c r="S212" s="1552"/>
      <c r="T212" s="1552"/>
      <c r="U212" s="1552"/>
      <c r="V212" s="1552"/>
      <c r="W212" s="1552"/>
      <c r="X212" s="1552"/>
      <c r="Y212" s="1552"/>
      <c r="Z212" s="1552"/>
      <c r="AA212" s="1552"/>
      <c r="AB212" s="1552"/>
      <c r="AC212" s="1552"/>
      <c r="AD212" s="1552"/>
      <c r="AE212" s="1552"/>
      <c r="AF212" s="1552">
        <v>11</v>
      </c>
    </row>
    <row r="213" spans="1:32" ht="11.45" customHeight="1">
      <c r="A213" s="916"/>
      <c r="B213" s="1552"/>
      <c r="D213" s="1552"/>
      <c r="K213" s="1552"/>
      <c r="N213" s="1552"/>
      <c r="O213" s="1552"/>
      <c r="P213" s="1552"/>
      <c r="Q213" s="1552"/>
      <c r="S213" s="1552"/>
      <c r="T213" s="1552"/>
      <c r="U213" s="1552"/>
      <c r="V213" s="1552"/>
      <c r="W213" s="1552"/>
      <c r="X213" s="1552"/>
      <c r="Y213" s="1552"/>
      <c r="Z213" s="1552"/>
      <c r="AA213" s="1552"/>
      <c r="AB213" s="1552"/>
      <c r="AC213" s="1552"/>
      <c r="AD213" s="1552"/>
      <c r="AE213" s="1552"/>
      <c r="AF213" s="1552">
        <v>11</v>
      </c>
    </row>
    <row r="214" spans="1:32" ht="11.45" customHeight="1">
      <c r="A214" s="916"/>
      <c r="B214" s="1552"/>
      <c r="D214" s="1552"/>
      <c r="K214" s="1552"/>
      <c r="N214" s="1552"/>
      <c r="O214" s="1552"/>
      <c r="P214" s="1552"/>
      <c r="Q214" s="1552"/>
      <c r="S214" s="1552"/>
      <c r="T214" s="1552"/>
      <c r="U214" s="1552"/>
      <c r="V214" s="1552"/>
      <c r="W214" s="1552"/>
      <c r="X214" s="1552"/>
      <c r="Y214" s="1552"/>
      <c r="Z214" s="1552"/>
      <c r="AA214" s="1552"/>
      <c r="AB214" s="1552"/>
      <c r="AC214" s="1552"/>
      <c r="AD214" s="1552"/>
      <c r="AE214" s="1552"/>
      <c r="AF214" s="1552">
        <v>11</v>
      </c>
    </row>
    <row r="215" spans="1:32" ht="11.45" customHeight="1">
      <c r="A215" s="916"/>
      <c r="B215" s="1552"/>
      <c r="D215" s="1552"/>
      <c r="K215" s="1552"/>
      <c r="N215" s="1552"/>
      <c r="O215" s="1552"/>
      <c r="P215" s="1552"/>
      <c r="Q215" s="1552"/>
      <c r="S215" s="1552"/>
      <c r="T215" s="1552"/>
      <c r="U215" s="1552"/>
      <c r="V215" s="1552"/>
      <c r="W215" s="1552"/>
      <c r="X215" s="1552"/>
      <c r="Y215" s="1552"/>
      <c r="Z215" s="1552"/>
      <c r="AA215" s="1552"/>
      <c r="AB215" s="1552"/>
      <c r="AC215" s="1552"/>
      <c r="AD215" s="1552"/>
      <c r="AE215" s="1552"/>
      <c r="AF215" s="1552">
        <v>11</v>
      </c>
    </row>
    <row r="216" spans="1:32" ht="11.45" customHeight="1">
      <c r="A216" s="916"/>
      <c r="B216" s="1552"/>
      <c r="D216" s="1552"/>
      <c r="K216" s="1552"/>
      <c r="N216" s="1552"/>
      <c r="O216" s="1552"/>
      <c r="P216" s="1552"/>
      <c r="Q216" s="1552"/>
      <c r="S216" s="1552"/>
      <c r="T216" s="1552"/>
      <c r="U216" s="1552"/>
      <c r="V216" s="1552"/>
      <c r="W216" s="1552"/>
      <c r="X216" s="1552"/>
      <c r="Y216" s="1552"/>
      <c r="Z216" s="1552"/>
      <c r="AA216" s="1552"/>
      <c r="AB216" s="1552"/>
      <c r="AC216" s="1552"/>
      <c r="AD216" s="1552"/>
      <c r="AE216" s="1552"/>
      <c r="AF216" s="1552">
        <v>11</v>
      </c>
    </row>
    <row r="217" spans="1:32" ht="11.25" hidden="1" customHeight="1">
      <c r="A217" s="913" t="s">
        <v>82</v>
      </c>
      <c r="B217" s="1081">
        <v>0</v>
      </c>
      <c r="C217" s="1557">
        <v>0</v>
      </c>
      <c r="D217" s="1556">
        <v>3</v>
      </c>
      <c r="E217" s="1552">
        <v>7</v>
      </c>
      <c r="F217" s="1552">
        <v>56</v>
      </c>
      <c r="G217" s="1552">
        <v>10</v>
      </c>
      <c r="H217" s="1552">
        <v>0</v>
      </c>
      <c r="I217" s="1552">
        <v>40</v>
      </c>
      <c r="J217" s="1552">
        <v>102</v>
      </c>
      <c r="K217" s="1081">
        <v>9</v>
      </c>
      <c r="L217" s="1557">
        <v>5</v>
      </c>
      <c r="M217" s="1557">
        <v>3</v>
      </c>
      <c r="N217" s="1081">
        <v>3</v>
      </c>
      <c r="O217" s="1081">
        <v>3</v>
      </c>
      <c r="P217" s="1081">
        <v>3</v>
      </c>
      <c r="Q217" s="1081">
        <v>3</v>
      </c>
      <c r="R217" s="1557">
        <v>10</v>
      </c>
      <c r="S217" s="1081">
        <v>34</v>
      </c>
      <c r="T217" s="1081">
        <v>9</v>
      </c>
      <c r="U217" s="482">
        <v>8</v>
      </c>
      <c r="V217" s="1081">
        <v>8</v>
      </c>
      <c r="W217" s="1081">
        <v>8</v>
      </c>
      <c r="X217" s="1081">
        <v>8</v>
      </c>
      <c r="Y217" s="1081">
        <v>8</v>
      </c>
      <c r="Z217" s="1081">
        <v>8</v>
      </c>
      <c r="AA217" s="1553">
        <v>8</v>
      </c>
      <c r="AB217" s="1553">
        <v>8</v>
      </c>
      <c r="AC217" s="1553">
        <v>8</v>
      </c>
      <c r="AD217" s="1553">
        <v>8</v>
      </c>
      <c r="AE217" s="1553">
        <v>8</v>
      </c>
      <c r="AF217" s="1552">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5256" hidden="1" customWidth="1"/>
    <col min="2" max="2" width="16.85546875" style="4274" hidden="1" customWidth="1"/>
    <col min="3" max="3" width="5.5703125" style="4275" hidden="1" customWidth="1"/>
    <col min="4" max="4" width="3" style="4267" customWidth="1"/>
    <col min="5" max="5" width="7" style="4267" customWidth="1"/>
    <col min="6" max="6" width="54" style="4267" customWidth="1"/>
    <col min="7" max="7" width="10" style="4267" customWidth="1"/>
    <col min="8" max="8" width="40.7109375" style="4267" hidden="1" customWidth="1"/>
    <col min="9" max="9" width="40" style="4267" customWidth="1"/>
    <col min="10" max="10" width="102" style="4267" customWidth="1"/>
    <col min="11" max="11" width="9" style="4274" customWidth="1"/>
    <col min="12" max="12" width="5" style="4275" customWidth="1"/>
    <col min="13" max="13" width="3" style="4275" customWidth="1"/>
    <col min="14" max="17" width="3" style="4274" customWidth="1"/>
    <col min="18" max="18" width="10" style="4275" customWidth="1"/>
    <col min="19" max="19" width="34" style="4274" customWidth="1"/>
    <col min="20" max="20" width="9" style="4274" customWidth="1"/>
    <col min="21" max="21" width="8" style="5257" customWidth="1"/>
    <col min="22" max="26" width="8" style="4274" customWidth="1"/>
    <col min="27" max="31" width="8" style="4265" customWidth="1"/>
    <col min="32" max="32" width="9.140625" style="4267" hidden="1"/>
  </cols>
  <sheetData>
    <row r="1" spans="1:32" s="4274" customFormat="1" ht="22.5" hidden="1" customHeight="1">
      <c r="A1" s="913"/>
      <c r="C1" s="1557"/>
      <c r="D1" s="475"/>
      <c r="H1" s="1081">
        <v>4</v>
      </c>
      <c r="I1" s="1081">
        <v>4</v>
      </c>
      <c r="L1" s="1557"/>
      <c r="M1" s="1557"/>
      <c r="R1" s="1557"/>
      <c r="AF1" s="1081" t="s">
        <v>14</v>
      </c>
    </row>
    <row r="2" spans="1:32" s="4274" customFormat="1" ht="22.5" hidden="1" customHeight="1">
      <c r="A2" s="913"/>
      <c r="C2" s="1557"/>
      <c r="D2" s="476"/>
      <c r="E2" s="1579"/>
      <c r="F2" s="478"/>
      <c r="G2" s="1578" t="s">
        <v>644</v>
      </c>
      <c r="H2" s="479"/>
      <c r="I2" s="479"/>
      <c r="J2" s="480" t="s">
        <v>647</v>
      </c>
      <c r="K2" s="481"/>
      <c r="L2" s="1557"/>
      <c r="M2" s="1557"/>
      <c r="R2" s="1557"/>
      <c r="U2" s="482"/>
      <c r="AA2" s="1553"/>
      <c r="AB2" s="1553"/>
      <c r="AC2" s="1553"/>
      <c r="AD2" s="1553"/>
      <c r="AE2" s="1553"/>
      <c r="AF2" s="1081">
        <v>0</v>
      </c>
    </row>
    <row r="3" spans="1:32" ht="11.25" hidden="1" customHeight="1">
      <c r="AF3" s="1552">
        <v>0</v>
      </c>
    </row>
    <row r="4" spans="1:32" s="4265" customFormat="1" ht="11.25" hidden="1" customHeight="1">
      <c r="A4" s="913"/>
      <c r="B4" s="1081"/>
      <c r="C4" s="1557"/>
      <c r="D4" s="300"/>
      <c r="J4" s="1553">
        <v>4</v>
      </c>
      <c r="K4" s="1081"/>
      <c r="L4" s="1557"/>
      <c r="M4" s="1557"/>
      <c r="N4" s="1081"/>
      <c r="O4" s="1081"/>
      <c r="P4" s="1081"/>
      <c r="Q4" s="1081"/>
      <c r="R4" s="1557"/>
      <c r="S4" s="1081"/>
      <c r="T4" s="1081"/>
      <c r="U4" s="482"/>
      <c r="V4" s="1081"/>
      <c r="W4" s="1081"/>
      <c r="X4" s="1081"/>
      <c r="Y4" s="1081"/>
      <c r="Z4" s="1081"/>
      <c r="AF4" s="1553">
        <v>0</v>
      </c>
    </row>
    <row r="5" spans="1:32" ht="11.45" customHeight="1">
      <c r="AF5" s="1552">
        <v>11</v>
      </c>
    </row>
    <row r="6" spans="1:32" ht="33.75" customHeight="1">
      <c r="E6" s="5450" t="s">
        <v>866</v>
      </c>
      <c r="F6" s="5450"/>
      <c r="G6" s="5450"/>
      <c r="H6" s="5450"/>
      <c r="I6" s="5450"/>
      <c r="J6" s="494"/>
      <c r="AF6" s="1552">
        <v>32</v>
      </c>
    </row>
    <row r="7" spans="1:32" ht="25.15" customHeight="1">
      <c r="E7" s="5423" t="str">
        <f>IF(org=0,"Не определено",org)</f>
        <v>КГУП "Примтеплоэнерго"</v>
      </c>
      <c r="F7" s="5423"/>
      <c r="G7" s="5423"/>
      <c r="H7" s="5423"/>
      <c r="I7" s="5423"/>
      <c r="AF7" s="1552">
        <v>24</v>
      </c>
    </row>
    <row r="8" spans="1:32" ht="11.45" customHeight="1">
      <c r="E8" s="1056"/>
      <c r="F8" s="1056"/>
      <c r="G8" s="1056"/>
      <c r="H8" s="1056"/>
      <c r="I8" s="1056"/>
      <c r="AF8" s="1552">
        <v>11</v>
      </c>
    </row>
    <row r="9" spans="1:32" s="4275" customFormat="1" ht="1.1499999999999999" customHeight="1">
      <c r="A9" s="1088"/>
      <c r="D9" s="1563"/>
      <c r="H9" s="816"/>
      <c r="I9" s="816" t="s">
        <v>149</v>
      </c>
      <c r="AF9" s="1557">
        <v>1</v>
      </c>
    </row>
    <row r="10" spans="1:32" ht="11.45" customHeight="1">
      <c r="E10" s="649"/>
      <c r="F10" s="5559" t="s">
        <v>141</v>
      </c>
      <c r="G10" s="5560"/>
      <c r="H10" s="1580" t="str">
        <f>IF(H9="","",INDEX(DIFFERENTIATION_UNMERGE_VD,MATCH(H9,DIFFERENTIATION_ID_DIFF,0)))</f>
        <v/>
      </c>
      <c r="I10" s="1580">
        <f>IF(I9="","",INDEX(DIFFERENTIATION_UNMERGE_VD,MATCH(I9,DIFFERENTIATION_ID_DIFF,0)))</f>
        <v>0</v>
      </c>
      <c r="J10" s="5328"/>
      <c r="AF10" s="1552">
        <v>11</v>
      </c>
    </row>
    <row r="11" spans="1:32" ht="11.45" customHeight="1">
      <c r="E11" s="649"/>
      <c r="F11" s="5559" t="s">
        <v>656</v>
      </c>
      <c r="G11" s="5560"/>
      <c r="H11" s="1580" t="str">
        <f>IF(H9="","",INDEX(DIFFERENTIATION_UNMERGE_AREA,MATCH(H9,DIFFERENTIATION_ID_DIFF,0)))</f>
        <v/>
      </c>
      <c r="I11" s="1580" t="str">
        <f>IF(I9="","",INDEX(DIFFERENTIATION_UNMERGE_AREA,MATCH(I9,DIFFERENTIATION_ID_DIFF,0)))</f>
        <v/>
      </c>
      <c r="J11" s="5328"/>
      <c r="AF11" s="1552">
        <v>11</v>
      </c>
    </row>
    <row r="12" spans="1:32" ht="11.25" hidden="1" customHeight="1">
      <c r="E12" s="1583"/>
      <c r="F12" s="5577" t="s">
        <v>657</v>
      </c>
      <c r="G12" s="5578"/>
      <c r="H12" s="1584" t="str">
        <f>IF(H9="","",INDEX(DIFFERENTIATION_UNMERGE_SYSTEM,MATCH(H9,DIFFERENTIATION_ID_DIFF,0)))</f>
        <v/>
      </c>
      <c r="I12" s="1584" t="str">
        <f>IF(I9="","",INDEX(DIFFERENTIATION_UNMERGE_SYSTEM,MATCH(I9,DIFFERENTIATION_ID_DIFF,0)))</f>
        <v>без дифференциации</v>
      </c>
      <c r="J12" s="5328"/>
      <c r="AF12" s="1552">
        <v>0</v>
      </c>
    </row>
    <row r="13" spans="1:32" ht="11.45" customHeight="1">
      <c r="E13" s="5561" t="s">
        <v>393</v>
      </c>
      <c r="F13" s="5562"/>
      <c r="G13" s="5562"/>
      <c r="H13" s="1577"/>
      <c r="I13" s="1577"/>
      <c r="J13" s="5328"/>
      <c r="AF13" s="1552">
        <v>11</v>
      </c>
    </row>
    <row r="14" spans="1:32" ht="24" customHeight="1">
      <c r="E14" s="1578" t="s">
        <v>88</v>
      </c>
      <c r="F14" s="1581" t="s">
        <v>395</v>
      </c>
      <c r="G14" s="1581" t="s">
        <v>658</v>
      </c>
      <c r="H14" s="1581" t="s">
        <v>396</v>
      </c>
      <c r="I14" s="1581" t="s">
        <v>396</v>
      </c>
      <c r="J14" s="5328"/>
      <c r="AF14" s="1552">
        <v>23</v>
      </c>
    </row>
    <row r="15" spans="1:32" ht="19.899999999999999" customHeight="1">
      <c r="D15" s="1559"/>
      <c r="E15" s="1551" t="s">
        <v>136</v>
      </c>
      <c r="F15" s="645" t="s">
        <v>867</v>
      </c>
      <c r="G15" s="1578" t="s">
        <v>644</v>
      </c>
      <c r="H15" s="495"/>
      <c r="I15" s="495"/>
      <c r="J15" s="227" t="s">
        <v>868</v>
      </c>
      <c r="K15" s="481" t="s">
        <v>722</v>
      </c>
      <c r="AF15" s="1552">
        <v>19</v>
      </c>
    </row>
    <row r="16" spans="1:32" ht="24" customHeight="1">
      <c r="D16" s="1559"/>
      <c r="E16" s="1551" t="s">
        <v>103</v>
      </c>
      <c r="F16" s="1586" t="s">
        <v>869</v>
      </c>
      <c r="G16" s="1578" t="s">
        <v>644</v>
      </c>
      <c r="H16" s="496">
        <f>SUM(H17,H20:H27)</f>
        <v>0</v>
      </c>
      <c r="I16" s="496">
        <f>SUM(I17,I20:I27)</f>
        <v>0</v>
      </c>
      <c r="J16" s="227" t="s">
        <v>870</v>
      </c>
      <c r="K16" s="481" t="s">
        <v>722</v>
      </c>
      <c r="AF16" s="1552">
        <v>23</v>
      </c>
    </row>
    <row r="17" spans="1:32" ht="35.65" customHeight="1">
      <c r="D17" s="1559"/>
      <c r="E17" s="1585" t="s">
        <v>800</v>
      </c>
      <c r="F17" s="1588" t="s">
        <v>871</v>
      </c>
      <c r="G17" s="1575" t="s">
        <v>644</v>
      </c>
      <c r="H17" s="495"/>
      <c r="I17" s="495"/>
      <c r="J17" s="227" t="s">
        <v>872</v>
      </c>
      <c r="K17" s="481"/>
      <c r="AF17" s="1552">
        <v>34</v>
      </c>
    </row>
    <row r="18" spans="1:32" ht="19.899999999999999" customHeight="1">
      <c r="D18" s="1559"/>
      <c r="E18" s="1585" t="s">
        <v>803</v>
      </c>
      <c r="F18" s="1589" t="s">
        <v>873</v>
      </c>
      <c r="G18" s="1575" t="s">
        <v>644</v>
      </c>
      <c r="H18" s="495"/>
      <c r="I18" s="495"/>
      <c r="J18" s="227"/>
      <c r="K18" s="481"/>
      <c r="AF18" s="1552">
        <v>19</v>
      </c>
    </row>
    <row r="19" spans="1:32" ht="24" customHeight="1">
      <c r="D19" s="1559"/>
      <c r="E19" s="1585" t="s">
        <v>806</v>
      </c>
      <c r="F19" s="1589" t="s">
        <v>874</v>
      </c>
      <c r="G19" s="1575" t="s">
        <v>644</v>
      </c>
      <c r="H19" s="495"/>
      <c r="I19" s="495"/>
      <c r="J19" s="227"/>
      <c r="K19" s="481"/>
      <c r="AF19" s="1552">
        <v>23</v>
      </c>
    </row>
    <row r="20" spans="1:32" ht="35.65" customHeight="1">
      <c r="D20" s="1559"/>
      <c r="E20" s="1585" t="s">
        <v>400</v>
      </c>
      <c r="F20" s="1588" t="s">
        <v>875</v>
      </c>
      <c r="G20" s="1575" t="s">
        <v>644</v>
      </c>
      <c r="H20" s="495"/>
      <c r="I20" s="495"/>
      <c r="J20" s="227"/>
      <c r="K20" s="481"/>
      <c r="AF20" s="1552">
        <v>34</v>
      </c>
    </row>
    <row r="21" spans="1:32" ht="48.2" customHeight="1">
      <c r="D21" s="1559"/>
      <c r="E21" s="1585" t="s">
        <v>403</v>
      </c>
      <c r="F21" s="1588" t="s">
        <v>876</v>
      </c>
      <c r="G21" s="1575" t="s">
        <v>644</v>
      </c>
      <c r="H21" s="495"/>
      <c r="I21" s="495"/>
      <c r="J21" s="227"/>
      <c r="K21" s="481"/>
      <c r="AF21" s="1552">
        <v>46</v>
      </c>
    </row>
    <row r="22" spans="1:32" ht="60" customHeight="1">
      <c r="D22" s="1559"/>
      <c r="E22" s="1585" t="s">
        <v>820</v>
      </c>
      <c r="F22" s="1588" t="s">
        <v>877</v>
      </c>
      <c r="G22" s="1575" t="s">
        <v>644</v>
      </c>
      <c r="H22" s="495"/>
      <c r="I22" s="495"/>
      <c r="J22" s="227"/>
      <c r="K22" s="481"/>
      <c r="AF22" s="1552">
        <v>57</v>
      </c>
    </row>
    <row r="23" spans="1:32" ht="35.65" customHeight="1">
      <c r="D23" s="1559"/>
      <c r="E23" s="1585" t="s">
        <v>827</v>
      </c>
      <c r="F23" s="1588" t="s">
        <v>878</v>
      </c>
      <c r="G23" s="1575" t="s">
        <v>644</v>
      </c>
      <c r="H23" s="495"/>
      <c r="I23" s="495"/>
      <c r="J23" s="227"/>
      <c r="K23" s="481"/>
      <c r="AF23" s="1552">
        <v>34</v>
      </c>
    </row>
    <row r="24" spans="1:32" ht="35.65" customHeight="1">
      <c r="D24" s="1559"/>
      <c r="E24" s="1585" t="s">
        <v>829</v>
      </c>
      <c r="F24" s="1588" t="s">
        <v>879</v>
      </c>
      <c r="G24" s="1575" t="s">
        <v>644</v>
      </c>
      <c r="H24" s="495"/>
      <c r="I24" s="495"/>
      <c r="J24" s="227"/>
      <c r="K24" s="481"/>
      <c r="AF24" s="1552">
        <v>34</v>
      </c>
    </row>
    <row r="25" spans="1:32" ht="24" customHeight="1">
      <c r="D25" s="1559"/>
      <c r="E25" s="1585" t="s">
        <v>831</v>
      </c>
      <c r="F25" s="1588" t="s">
        <v>880</v>
      </c>
      <c r="G25" s="1575" t="s">
        <v>644</v>
      </c>
      <c r="H25" s="495"/>
      <c r="I25" s="495"/>
      <c r="J25" s="227"/>
      <c r="K25" s="481"/>
      <c r="AF25" s="1552">
        <v>23</v>
      </c>
    </row>
    <row r="26" spans="1:32" ht="76.5" customHeight="1">
      <c r="D26" s="1559"/>
      <c r="E26" s="1585" t="s">
        <v>833</v>
      </c>
      <c r="F26" s="1588" t="s">
        <v>881</v>
      </c>
      <c r="G26" s="1575" t="s">
        <v>644</v>
      </c>
      <c r="H26" s="495"/>
      <c r="I26" s="495"/>
      <c r="J26" s="227"/>
      <c r="K26" s="481"/>
      <c r="AF26" s="1552">
        <v>73</v>
      </c>
    </row>
    <row r="27" spans="1:32" s="4274" customFormat="1" ht="35.65" customHeight="1">
      <c r="A27" s="913"/>
      <c r="C27" s="1557"/>
      <c r="D27" s="1559"/>
      <c r="E27" s="1550" t="s">
        <v>837</v>
      </c>
      <c r="F27" s="1549" t="s">
        <v>882</v>
      </c>
      <c r="G27" s="1576" t="s">
        <v>644</v>
      </c>
      <c r="H27" s="517">
        <f>SUM(H28:H29)</f>
        <v>0</v>
      </c>
      <c r="I27" s="517">
        <f>SUM(I28:I29)</f>
        <v>0</v>
      </c>
      <c r="J27" s="227" t="s">
        <v>835</v>
      </c>
      <c r="K27" s="481"/>
      <c r="L27" s="1557"/>
      <c r="M27" s="1557"/>
      <c r="R27" s="1557"/>
      <c r="U27" s="482"/>
      <c r="AA27" s="1553"/>
      <c r="AB27" s="1553"/>
      <c r="AC27" s="1553"/>
      <c r="AD27" s="1553"/>
      <c r="AE27" s="1553"/>
      <c r="AF27" s="1081">
        <v>34</v>
      </c>
    </row>
    <row r="28" spans="1:32" s="4275" customFormat="1" ht="1.1499999999999999" customHeight="1">
      <c r="A28" s="1088"/>
      <c r="D28" s="486"/>
      <c r="E28" s="734" t="str">
        <f>E27&amp;".0"</f>
        <v>2.9.0</v>
      </c>
      <c r="F28" s="917"/>
      <c r="G28" s="489"/>
      <c r="H28" s="918"/>
      <c r="I28" s="918"/>
      <c r="J28" s="919"/>
      <c r="AF28" s="1557">
        <v>1</v>
      </c>
    </row>
    <row r="29" spans="1:32" s="4274" customFormat="1" ht="19.899999999999999" customHeight="1">
      <c r="A29" s="913"/>
      <c r="C29" s="1557"/>
      <c r="D29" s="1554"/>
      <c r="E29" s="508"/>
      <c r="F29" s="1587" t="s">
        <v>669</v>
      </c>
      <c r="G29" s="510"/>
      <c r="H29" s="511"/>
      <c r="I29" s="511"/>
      <c r="J29" s="239" t="s">
        <v>836</v>
      </c>
      <c r="K29" s="481"/>
      <c r="L29" s="1557"/>
      <c r="M29" s="1557"/>
      <c r="R29" s="1557"/>
      <c r="U29" s="482"/>
      <c r="AA29" s="1553"/>
      <c r="AB29" s="1553"/>
      <c r="AC29" s="1553"/>
      <c r="AD29" s="1553"/>
      <c r="AE29" s="1553"/>
      <c r="AF29" s="1081">
        <v>19</v>
      </c>
    </row>
    <row r="30" spans="1:32" s="4274" customFormat="1" ht="24" customHeight="1">
      <c r="A30" s="913"/>
      <c r="C30" s="1557"/>
      <c r="D30" s="1559"/>
      <c r="E30" s="1585" t="s">
        <v>90</v>
      </c>
      <c r="F30" s="1582" t="s">
        <v>883</v>
      </c>
      <c r="G30" s="1575" t="s">
        <v>644</v>
      </c>
      <c r="H30" s="495"/>
      <c r="I30" s="495"/>
      <c r="J30" s="227"/>
      <c r="K30" s="481"/>
      <c r="L30" s="1557"/>
      <c r="M30" s="1557"/>
      <c r="R30" s="1557"/>
      <c r="U30" s="482"/>
      <c r="AA30" s="1553"/>
      <c r="AB30" s="1553"/>
      <c r="AC30" s="1553"/>
      <c r="AD30" s="1553"/>
      <c r="AE30" s="1553"/>
      <c r="AF30" s="1081">
        <v>23</v>
      </c>
    </row>
    <row r="31" spans="1:32" s="4274" customFormat="1" ht="35.65" customHeight="1">
      <c r="A31" s="913"/>
      <c r="C31" s="1557"/>
      <c r="D31" s="513"/>
      <c r="E31" s="1585" t="s">
        <v>91</v>
      </c>
      <c r="F31" s="1582" t="s">
        <v>884</v>
      </c>
      <c r="G31" s="1575" t="s">
        <v>644</v>
      </c>
      <c r="H31" s="495"/>
      <c r="I31" s="495"/>
      <c r="J31" s="227" t="s">
        <v>885</v>
      </c>
      <c r="K31" s="481"/>
      <c r="L31" s="1557"/>
      <c r="M31" s="1557"/>
      <c r="R31" s="1557"/>
      <c r="U31" s="482"/>
      <c r="AA31" s="1553"/>
      <c r="AB31" s="1553"/>
      <c r="AC31" s="1553"/>
      <c r="AD31" s="1553"/>
      <c r="AE31" s="1553"/>
      <c r="AF31" s="1081">
        <v>34</v>
      </c>
    </row>
    <row r="32" spans="1:32" s="4274" customFormat="1" ht="24" customHeight="1">
      <c r="A32" s="913"/>
      <c r="C32" s="1557"/>
      <c r="D32" s="1559"/>
      <c r="E32" s="1585" t="s">
        <v>845</v>
      </c>
      <c r="F32" s="628" t="s">
        <v>849</v>
      </c>
      <c r="G32" s="1575" t="s">
        <v>644</v>
      </c>
      <c r="H32" s="495"/>
      <c r="I32" s="495"/>
      <c r="J32" s="227" t="s">
        <v>886</v>
      </c>
      <c r="K32" s="481"/>
      <c r="L32" s="1557"/>
      <c r="M32" s="1557"/>
      <c r="R32" s="1557"/>
      <c r="U32" s="482"/>
      <c r="AA32" s="1553"/>
      <c r="AB32" s="1553"/>
      <c r="AC32" s="1553"/>
      <c r="AD32" s="1553"/>
      <c r="AE32" s="1553"/>
      <c r="AF32" s="1081">
        <v>23</v>
      </c>
    </row>
    <row r="33" spans="1:32" s="4274" customFormat="1" ht="24" customHeight="1">
      <c r="A33" s="913"/>
      <c r="C33" s="1557"/>
      <c r="D33" s="1559"/>
      <c r="E33" s="1585" t="s">
        <v>887</v>
      </c>
      <c r="F33" s="628" t="s">
        <v>888</v>
      </c>
      <c r="G33" s="1575" t="s">
        <v>644</v>
      </c>
      <c r="H33" s="495"/>
      <c r="I33" s="495"/>
      <c r="J33" s="227" t="s">
        <v>889</v>
      </c>
      <c r="K33" s="481"/>
      <c r="L33" s="1557"/>
      <c r="M33" s="1557"/>
      <c r="R33" s="1557"/>
      <c r="U33" s="482"/>
      <c r="AA33" s="1553"/>
      <c r="AB33" s="1553"/>
      <c r="AC33" s="1553"/>
      <c r="AD33" s="1553"/>
      <c r="AE33" s="1553"/>
      <c r="AF33" s="1081">
        <v>23</v>
      </c>
    </row>
    <row r="34" spans="1:32" s="4274" customFormat="1" ht="24" customHeight="1">
      <c r="A34" s="913"/>
      <c r="C34" s="1557"/>
      <c r="D34" s="1559"/>
      <c r="E34" s="1585" t="s">
        <v>890</v>
      </c>
      <c r="F34" s="628" t="s">
        <v>855</v>
      </c>
      <c r="G34" s="1575" t="s">
        <v>644</v>
      </c>
      <c r="H34" s="495"/>
      <c r="I34" s="495"/>
      <c r="J34" s="227" t="s">
        <v>891</v>
      </c>
      <c r="K34" s="481"/>
      <c r="L34" s="1557"/>
      <c r="M34" s="1557"/>
      <c r="R34" s="1557"/>
      <c r="U34" s="482"/>
      <c r="AA34" s="1553"/>
      <c r="AB34" s="1553"/>
      <c r="AC34" s="1553"/>
      <c r="AD34" s="1553"/>
      <c r="AE34" s="1553"/>
      <c r="AF34" s="1081">
        <v>23</v>
      </c>
    </row>
    <row r="35" spans="1:32" s="4274" customFormat="1" ht="35.65" customHeight="1">
      <c r="A35" s="913"/>
      <c r="C35" s="1557" t="s">
        <v>680</v>
      </c>
      <c r="D35" s="1559"/>
      <c r="E35" s="1585" t="s">
        <v>116</v>
      </c>
      <c r="F35" s="1582" t="s">
        <v>721</v>
      </c>
      <c r="G35" s="1578" t="s">
        <v>399</v>
      </c>
      <c r="H35" s="339"/>
      <c r="I35" s="339"/>
      <c r="J35" s="227" t="s">
        <v>892</v>
      </c>
      <c r="K35" s="481"/>
      <c r="L35" s="1557"/>
      <c r="M35" s="1557"/>
      <c r="R35" s="1557"/>
      <c r="U35" s="482"/>
      <c r="AA35" s="1553"/>
      <c r="AB35" s="1553"/>
      <c r="AC35" s="1553"/>
      <c r="AD35" s="1553"/>
      <c r="AE35" s="1553"/>
      <c r="AF35" s="1081">
        <v>34</v>
      </c>
    </row>
    <row r="36" spans="1:32" s="4274" customFormat="1" ht="35.65" customHeight="1">
      <c r="A36" s="913"/>
      <c r="C36" s="1557"/>
      <c r="D36" s="1559"/>
      <c r="E36" s="1585" t="s">
        <v>92</v>
      </c>
      <c r="F36" s="1582" t="s">
        <v>893</v>
      </c>
      <c r="G36" s="1575" t="s">
        <v>860</v>
      </c>
      <c r="H36" s="483"/>
      <c r="I36" s="483"/>
      <c r="J36" s="227" t="s">
        <v>861</v>
      </c>
      <c r="K36" s="481"/>
      <c r="L36" s="1557"/>
      <c r="M36" s="1557"/>
      <c r="R36" s="1557"/>
      <c r="U36" s="482"/>
      <c r="AA36" s="1553"/>
      <c r="AB36" s="1553"/>
      <c r="AC36" s="1553"/>
      <c r="AD36" s="1553"/>
      <c r="AE36" s="1553"/>
      <c r="AF36" s="1081">
        <v>34</v>
      </c>
    </row>
    <row r="37" spans="1:32" s="4274" customFormat="1" ht="24" customHeight="1">
      <c r="A37" s="913"/>
      <c r="C37" s="1557"/>
      <c r="D37" s="1559"/>
      <c r="E37" s="1585" t="s">
        <v>93</v>
      </c>
      <c r="F37" s="1582" t="s">
        <v>894</v>
      </c>
      <c r="G37" s="1575" t="s">
        <v>863</v>
      </c>
      <c r="H37" s="483"/>
      <c r="I37" s="483"/>
      <c r="J37" s="227" t="s">
        <v>864</v>
      </c>
      <c r="K37" s="481"/>
      <c r="L37" s="1557"/>
      <c r="M37" s="1557"/>
      <c r="R37" s="1557"/>
      <c r="U37" s="482"/>
      <c r="AA37" s="1553"/>
      <c r="AB37" s="1553"/>
      <c r="AC37" s="1553"/>
      <c r="AD37" s="1553"/>
      <c r="AE37" s="1553"/>
      <c r="AF37" s="1081">
        <v>23</v>
      </c>
    </row>
    <row r="38" spans="1:32" ht="11.45" customHeight="1">
      <c r="D38" s="1559"/>
      <c r="AF38" s="1552">
        <v>11</v>
      </c>
    </row>
    <row r="39" spans="1:32" ht="27.4" customHeight="1">
      <c r="D39" s="1559"/>
      <c r="E39" s="1174" t="s">
        <v>895</v>
      </c>
      <c r="F39" s="5468" t="s">
        <v>896</v>
      </c>
      <c r="G39" s="5468"/>
      <c r="H39" s="307"/>
      <c r="I39" s="307"/>
      <c r="J39" s="307"/>
      <c r="AF39" s="1552">
        <v>26</v>
      </c>
    </row>
    <row r="40" spans="1:32" s="4299" customFormat="1" ht="39.75" customHeight="1">
      <c r="A40" s="913"/>
      <c r="B40" s="1557"/>
      <c r="C40" s="1557"/>
      <c r="D40" s="289"/>
      <c r="F40" s="5468" t="s">
        <v>897</v>
      </c>
      <c r="G40" s="5468"/>
      <c r="H40" s="307"/>
      <c r="I40" s="307"/>
      <c r="J40" s="307"/>
      <c r="K40" s="1081"/>
      <c r="L40" s="1557"/>
      <c r="M40" s="1557"/>
      <c r="N40" s="1081"/>
      <c r="O40" s="1081"/>
      <c r="P40" s="1081"/>
      <c r="Q40" s="1081"/>
      <c r="R40" s="1557"/>
      <c r="S40" s="1081"/>
      <c r="T40" s="1081"/>
      <c r="U40" s="482"/>
      <c r="V40" s="1081"/>
      <c r="W40" s="1081"/>
      <c r="X40" s="1081"/>
      <c r="Y40" s="1081"/>
      <c r="Z40" s="1081"/>
      <c r="AA40" s="1553"/>
      <c r="AB40" s="504"/>
      <c r="AC40" s="504"/>
      <c r="AD40" s="504"/>
      <c r="AE40" s="504"/>
      <c r="AF40" s="1562">
        <v>38</v>
      </c>
    </row>
    <row r="41" spans="1:32" s="4299" customFormat="1" ht="11.45" customHeight="1">
      <c r="A41" s="913"/>
      <c r="B41" s="1557"/>
      <c r="C41" s="1557"/>
      <c r="D41" s="289"/>
      <c r="K41" s="1081"/>
      <c r="L41" s="1557"/>
      <c r="M41" s="1557"/>
      <c r="N41" s="1081"/>
      <c r="O41" s="1081"/>
      <c r="P41" s="1081"/>
      <c r="Q41" s="1081"/>
      <c r="R41" s="1557"/>
      <c r="S41" s="1081"/>
      <c r="T41" s="1081"/>
      <c r="U41" s="482"/>
      <c r="V41" s="1081"/>
      <c r="W41" s="1081"/>
      <c r="X41" s="1081"/>
      <c r="Y41" s="1081"/>
      <c r="Z41" s="1081"/>
      <c r="AA41" s="1553"/>
      <c r="AB41" s="504"/>
      <c r="AC41" s="504"/>
      <c r="AD41" s="504"/>
      <c r="AE41" s="504"/>
      <c r="AF41" s="1562">
        <v>11</v>
      </c>
    </row>
    <row r="42" spans="1:32" s="4299" customFormat="1" ht="11.45" customHeight="1">
      <c r="A42" s="913"/>
      <c r="B42" s="1557"/>
      <c r="C42" s="1557"/>
      <c r="D42" s="289"/>
      <c r="K42" s="1081"/>
      <c r="L42" s="1557"/>
      <c r="M42" s="1557"/>
      <c r="N42" s="1081"/>
      <c r="O42" s="1081"/>
      <c r="P42" s="1081"/>
      <c r="Q42" s="1081"/>
      <c r="R42" s="1557"/>
      <c r="S42" s="1081"/>
      <c r="T42" s="1081"/>
      <c r="U42" s="482"/>
      <c r="V42" s="1081"/>
      <c r="W42" s="1081"/>
      <c r="X42" s="1081"/>
      <c r="Y42" s="1081"/>
      <c r="Z42" s="1081"/>
      <c r="AA42" s="1553"/>
      <c r="AB42" s="504"/>
      <c r="AC42" s="504"/>
      <c r="AD42" s="504"/>
      <c r="AE42" s="504"/>
      <c r="AF42" s="1562">
        <v>11</v>
      </c>
    </row>
    <row r="43" spans="1:32" s="4299" customFormat="1" ht="11.45" customHeight="1">
      <c r="A43" s="913"/>
      <c r="B43" s="1557"/>
      <c r="C43" s="1557"/>
      <c r="D43" s="289"/>
      <c r="H43" s="504"/>
      <c r="I43" s="504"/>
      <c r="K43" s="1081"/>
      <c r="L43" s="1557"/>
      <c r="M43" s="1557"/>
      <c r="N43" s="1081"/>
      <c r="O43" s="1081"/>
      <c r="P43" s="1081"/>
      <c r="Q43" s="1081"/>
      <c r="R43" s="1557"/>
      <c r="S43" s="1081"/>
      <c r="T43" s="1081"/>
      <c r="U43" s="482"/>
      <c r="V43" s="1081"/>
      <c r="W43" s="1081"/>
      <c r="X43" s="1081"/>
      <c r="Y43" s="1081"/>
      <c r="Z43" s="1081"/>
      <c r="AA43" s="1553"/>
      <c r="AB43" s="504"/>
      <c r="AC43" s="504"/>
      <c r="AD43" s="504"/>
      <c r="AE43" s="504"/>
      <c r="AF43" s="1562">
        <v>11</v>
      </c>
    </row>
    <row r="44" spans="1:32" s="4299" customFormat="1" ht="11.45" customHeight="1">
      <c r="A44" s="913"/>
      <c r="B44" s="1557"/>
      <c r="C44" s="1557"/>
      <c r="D44" s="289"/>
      <c r="K44" s="1081"/>
      <c r="L44" s="1557"/>
      <c r="M44" s="1557"/>
      <c r="N44" s="1081"/>
      <c r="O44" s="1081"/>
      <c r="P44" s="1081"/>
      <c r="Q44" s="1081"/>
      <c r="R44" s="1557"/>
      <c r="S44" s="1081"/>
      <c r="T44" s="1081"/>
      <c r="U44" s="482"/>
      <c r="V44" s="1081"/>
      <c r="W44" s="1081"/>
      <c r="X44" s="1081"/>
      <c r="Y44" s="1081"/>
      <c r="Z44" s="1081"/>
      <c r="AA44" s="1553"/>
      <c r="AB44" s="504"/>
      <c r="AC44" s="504"/>
      <c r="AD44" s="504"/>
      <c r="AE44" s="504"/>
      <c r="AF44" s="1562">
        <v>11</v>
      </c>
    </row>
    <row r="45" spans="1:32" s="4299" customFormat="1" ht="11.45" customHeight="1">
      <c r="A45" s="913"/>
      <c r="B45" s="1557"/>
      <c r="C45" s="1557"/>
      <c r="D45" s="289"/>
      <c r="K45" s="1081"/>
      <c r="L45" s="1557"/>
      <c r="M45" s="1557"/>
      <c r="N45" s="1081"/>
      <c r="O45" s="1081"/>
      <c r="P45" s="1081"/>
      <c r="Q45" s="1081"/>
      <c r="R45" s="1557"/>
      <c r="S45" s="1081"/>
      <c r="T45" s="1081"/>
      <c r="U45" s="482"/>
      <c r="V45" s="1081"/>
      <c r="W45" s="1081"/>
      <c r="X45" s="1081"/>
      <c r="Y45" s="1081"/>
      <c r="Z45" s="1081"/>
      <c r="AA45" s="1553"/>
      <c r="AB45" s="504"/>
      <c r="AC45" s="504"/>
      <c r="AD45" s="504"/>
      <c r="AE45" s="504"/>
      <c r="AF45" s="1562">
        <v>11</v>
      </c>
    </row>
    <row r="46" spans="1:32" s="4299" customFormat="1" ht="11.45" customHeight="1">
      <c r="A46" s="913"/>
      <c r="B46" s="1557"/>
      <c r="C46" s="1557"/>
      <c r="D46" s="289"/>
      <c r="K46" s="1081"/>
      <c r="L46" s="1557"/>
      <c r="M46" s="1557"/>
      <c r="N46" s="1081"/>
      <c r="O46" s="1081"/>
      <c r="P46" s="1081"/>
      <c r="Q46" s="1081"/>
      <c r="R46" s="1557"/>
      <c r="S46" s="1081"/>
      <c r="T46" s="1081"/>
      <c r="U46" s="482"/>
      <c r="V46" s="1081"/>
      <c r="W46" s="1081"/>
      <c r="X46" s="1081"/>
      <c r="Y46" s="1081"/>
      <c r="Z46" s="1081"/>
      <c r="AA46" s="1553"/>
      <c r="AB46" s="504"/>
      <c r="AC46" s="504"/>
      <c r="AD46" s="504"/>
      <c r="AE46" s="504"/>
      <c r="AF46" s="1562">
        <v>11</v>
      </c>
    </row>
    <row r="47" spans="1:32" s="4299" customFormat="1" ht="11.45" customHeight="1">
      <c r="A47" s="913"/>
      <c r="B47" s="1557"/>
      <c r="C47" s="1557"/>
      <c r="D47" s="289"/>
      <c r="K47" s="1081"/>
      <c r="L47" s="1557"/>
      <c r="M47" s="1557"/>
      <c r="N47" s="1081"/>
      <c r="O47" s="1081"/>
      <c r="P47" s="1081"/>
      <c r="Q47" s="1081"/>
      <c r="R47" s="1557"/>
      <c r="S47" s="1081"/>
      <c r="T47" s="1081"/>
      <c r="U47" s="482"/>
      <c r="V47" s="1081"/>
      <c r="W47" s="1081"/>
      <c r="X47" s="1081"/>
      <c r="Y47" s="1081"/>
      <c r="Z47" s="1081"/>
      <c r="AA47" s="1553"/>
      <c r="AB47" s="504"/>
      <c r="AC47" s="504"/>
      <c r="AD47" s="504"/>
      <c r="AE47" s="504"/>
      <c r="AF47" s="1562">
        <v>11</v>
      </c>
    </row>
    <row r="48" spans="1:32" s="4299" customFormat="1" ht="11.45" customHeight="1">
      <c r="A48" s="913"/>
      <c r="B48" s="1557"/>
      <c r="C48" s="1557"/>
      <c r="D48" s="289"/>
      <c r="K48" s="1081"/>
      <c r="L48" s="1557"/>
      <c r="M48" s="1557"/>
      <c r="N48" s="1081"/>
      <c r="O48" s="1081"/>
      <c r="P48" s="1081"/>
      <c r="Q48" s="1081"/>
      <c r="R48" s="1557"/>
      <c r="S48" s="1081"/>
      <c r="T48" s="1081"/>
      <c r="U48" s="482"/>
      <c r="V48" s="1081"/>
      <c r="W48" s="1081"/>
      <c r="X48" s="1081"/>
      <c r="Y48" s="1081"/>
      <c r="Z48" s="1081"/>
      <c r="AA48" s="1553"/>
      <c r="AB48" s="504"/>
      <c r="AC48" s="504"/>
      <c r="AD48" s="504"/>
      <c r="AE48" s="504"/>
      <c r="AF48" s="1562">
        <v>11</v>
      </c>
    </row>
    <row r="49" spans="1:32" s="4299" customFormat="1" ht="11.45" customHeight="1">
      <c r="A49" s="913"/>
      <c r="B49" s="1557"/>
      <c r="C49" s="1557"/>
      <c r="D49" s="289"/>
      <c r="K49" s="1081"/>
      <c r="L49" s="1557"/>
      <c r="M49" s="1557"/>
      <c r="N49" s="1081"/>
      <c r="O49" s="1081"/>
      <c r="P49" s="1081"/>
      <c r="Q49" s="1081"/>
      <c r="R49" s="1557"/>
      <c r="S49" s="1081"/>
      <c r="T49" s="1081"/>
      <c r="U49" s="482"/>
      <c r="V49" s="1081"/>
      <c r="W49" s="1081"/>
      <c r="X49" s="1081"/>
      <c r="Y49" s="1081"/>
      <c r="Z49" s="1081"/>
      <c r="AA49" s="1553"/>
      <c r="AB49" s="504"/>
      <c r="AC49" s="504"/>
      <c r="AD49" s="504"/>
      <c r="AE49" s="504"/>
      <c r="AF49" s="1562">
        <v>11</v>
      </c>
    </row>
    <row r="50" spans="1:32" s="4299" customFormat="1" ht="11.45" customHeight="1">
      <c r="A50" s="913"/>
      <c r="B50" s="1557"/>
      <c r="C50" s="1557"/>
      <c r="D50" s="289"/>
      <c r="K50" s="1081"/>
      <c r="L50" s="1557"/>
      <c r="M50" s="1557"/>
      <c r="N50" s="1081"/>
      <c r="O50" s="1081"/>
      <c r="P50" s="1081"/>
      <c r="Q50" s="1081"/>
      <c r="R50" s="1557"/>
      <c r="S50" s="1081"/>
      <c r="T50" s="1081"/>
      <c r="U50" s="482"/>
      <c r="V50" s="1081"/>
      <c r="W50" s="1081"/>
      <c r="X50" s="1081"/>
      <c r="Y50" s="1081"/>
      <c r="Z50" s="1081"/>
      <c r="AA50" s="1553"/>
      <c r="AB50" s="504"/>
      <c r="AC50" s="504"/>
      <c r="AD50" s="504"/>
      <c r="AE50" s="504"/>
      <c r="AF50" s="1562">
        <v>11</v>
      </c>
    </row>
    <row r="51" spans="1:32" s="4299" customFormat="1" ht="11.45" customHeight="1">
      <c r="A51" s="913"/>
      <c r="B51" s="1557"/>
      <c r="C51" s="1557"/>
      <c r="D51" s="289"/>
      <c r="K51" s="1081"/>
      <c r="L51" s="1557"/>
      <c r="M51" s="1557"/>
      <c r="N51" s="1081"/>
      <c r="O51" s="1081"/>
      <c r="P51" s="1081"/>
      <c r="Q51" s="1081"/>
      <c r="R51" s="1557"/>
      <c r="S51" s="1081"/>
      <c r="T51" s="1081"/>
      <c r="U51" s="482"/>
      <c r="V51" s="1081"/>
      <c r="W51" s="1081"/>
      <c r="X51" s="1081"/>
      <c r="Y51" s="1081"/>
      <c r="Z51" s="1081"/>
      <c r="AA51" s="1553"/>
      <c r="AB51" s="504"/>
      <c r="AC51" s="504"/>
      <c r="AD51" s="504"/>
      <c r="AE51" s="504"/>
      <c r="AF51" s="1562">
        <v>11</v>
      </c>
    </row>
    <row r="52" spans="1:32" s="4299" customFormat="1" ht="11.45" customHeight="1">
      <c r="A52" s="913"/>
      <c r="B52" s="1557"/>
      <c r="C52" s="1557"/>
      <c r="D52" s="289"/>
      <c r="K52" s="1081"/>
      <c r="L52" s="1557"/>
      <c r="M52" s="1557"/>
      <c r="N52" s="1081"/>
      <c r="O52" s="1081"/>
      <c r="P52" s="1081"/>
      <c r="Q52" s="1081"/>
      <c r="R52" s="1557"/>
      <c r="S52" s="1081"/>
      <c r="T52" s="1081"/>
      <c r="U52" s="482"/>
      <c r="V52" s="1081"/>
      <c r="W52" s="1081"/>
      <c r="X52" s="1081"/>
      <c r="Y52" s="1081"/>
      <c r="Z52" s="1081"/>
      <c r="AA52" s="1553"/>
      <c r="AB52" s="504"/>
      <c r="AC52" s="504"/>
      <c r="AD52" s="504"/>
      <c r="AE52" s="504"/>
      <c r="AF52" s="1562">
        <v>11</v>
      </c>
    </row>
    <row r="53" spans="1:32" s="4299" customFormat="1" ht="11.45" customHeight="1">
      <c r="A53" s="913"/>
      <c r="B53" s="1557"/>
      <c r="C53" s="1557"/>
      <c r="D53" s="289"/>
      <c r="K53" s="1081"/>
      <c r="L53" s="1557"/>
      <c r="M53" s="1557"/>
      <c r="N53" s="1081"/>
      <c r="O53" s="1081"/>
      <c r="P53" s="1081"/>
      <c r="Q53" s="1081"/>
      <c r="R53" s="1557"/>
      <c r="S53" s="1081"/>
      <c r="T53" s="1081"/>
      <c r="U53" s="482"/>
      <c r="V53" s="1081"/>
      <c r="W53" s="1081"/>
      <c r="X53" s="1081"/>
      <c r="Y53" s="1081"/>
      <c r="Z53" s="1081"/>
      <c r="AA53" s="1553"/>
      <c r="AB53" s="504"/>
      <c r="AC53" s="504"/>
      <c r="AD53" s="504"/>
      <c r="AE53" s="504"/>
      <c r="AF53" s="1562">
        <v>11</v>
      </c>
    </row>
    <row r="54" spans="1:32" s="4299" customFormat="1" ht="11.45" customHeight="1">
      <c r="A54" s="913"/>
      <c r="B54" s="1557"/>
      <c r="C54" s="1557"/>
      <c r="D54" s="289"/>
      <c r="K54" s="1081"/>
      <c r="L54" s="1557"/>
      <c r="M54" s="1557"/>
      <c r="N54" s="1081"/>
      <c r="O54" s="1081"/>
      <c r="P54" s="1081"/>
      <c r="Q54" s="1081"/>
      <c r="R54" s="1557"/>
      <c r="S54" s="1081"/>
      <c r="T54" s="1081"/>
      <c r="U54" s="482"/>
      <c r="V54" s="1081"/>
      <c r="W54" s="1081"/>
      <c r="X54" s="1081"/>
      <c r="Y54" s="1081"/>
      <c r="Z54" s="1081"/>
      <c r="AA54" s="1553"/>
      <c r="AB54" s="504"/>
      <c r="AC54" s="504"/>
      <c r="AD54" s="504"/>
      <c r="AE54" s="504"/>
      <c r="AF54" s="1562">
        <v>11</v>
      </c>
    </row>
    <row r="55" spans="1:32" s="4299" customFormat="1" ht="11.45" customHeight="1">
      <c r="A55" s="913"/>
      <c r="B55" s="1557"/>
      <c r="C55" s="1557"/>
      <c r="D55" s="289"/>
      <c r="K55" s="1081"/>
      <c r="L55" s="1557"/>
      <c r="M55" s="1557"/>
      <c r="N55" s="1081"/>
      <c r="O55" s="1081"/>
      <c r="P55" s="1081"/>
      <c r="Q55" s="1081"/>
      <c r="R55" s="1557"/>
      <c r="S55" s="1081"/>
      <c r="T55" s="1081"/>
      <c r="U55" s="482"/>
      <c r="V55" s="1081"/>
      <c r="W55" s="1081"/>
      <c r="X55" s="1081"/>
      <c r="Y55" s="1081"/>
      <c r="Z55" s="1081"/>
      <c r="AA55" s="1553"/>
      <c r="AB55" s="504"/>
      <c r="AC55" s="504"/>
      <c r="AD55" s="504"/>
      <c r="AE55" s="504"/>
      <c r="AF55" s="1562">
        <v>11</v>
      </c>
    </row>
    <row r="56" spans="1:32" s="4299" customFormat="1" ht="11.45" customHeight="1">
      <c r="A56" s="913"/>
      <c r="B56" s="1557"/>
      <c r="C56" s="1557"/>
      <c r="D56" s="289"/>
      <c r="K56" s="1081"/>
      <c r="L56" s="1557"/>
      <c r="M56" s="1557"/>
      <c r="N56" s="1081"/>
      <c r="O56" s="1081"/>
      <c r="P56" s="1081"/>
      <c r="Q56" s="1081"/>
      <c r="R56" s="1557"/>
      <c r="S56" s="1081"/>
      <c r="T56" s="1081"/>
      <c r="U56" s="482"/>
      <c r="V56" s="1081"/>
      <c r="W56" s="1081"/>
      <c r="X56" s="1081"/>
      <c r="Y56" s="1081"/>
      <c r="Z56" s="1081"/>
      <c r="AA56" s="1553"/>
      <c r="AB56" s="504"/>
      <c r="AC56" s="504"/>
      <c r="AD56" s="504"/>
      <c r="AE56" s="504"/>
      <c r="AF56" s="1562">
        <v>11</v>
      </c>
    </row>
    <row r="57" spans="1:32" s="4299" customFormat="1" ht="11.45" customHeight="1">
      <c r="A57" s="913"/>
      <c r="B57" s="1557"/>
      <c r="C57" s="1557"/>
      <c r="D57" s="289"/>
      <c r="K57" s="1081"/>
      <c r="L57" s="1557"/>
      <c r="M57" s="1557"/>
      <c r="N57" s="1081"/>
      <c r="O57" s="1081"/>
      <c r="P57" s="1081"/>
      <c r="Q57" s="1081"/>
      <c r="R57" s="1557"/>
      <c r="S57" s="1081"/>
      <c r="T57" s="1081"/>
      <c r="U57" s="482"/>
      <c r="V57" s="1081"/>
      <c r="W57" s="1081"/>
      <c r="X57" s="1081"/>
      <c r="Y57" s="1081"/>
      <c r="Z57" s="1081"/>
      <c r="AA57" s="1553"/>
      <c r="AB57" s="504"/>
      <c r="AC57" s="504"/>
      <c r="AD57" s="504"/>
      <c r="AE57" s="504"/>
      <c r="AF57" s="1562">
        <v>11</v>
      </c>
    </row>
    <row r="58" spans="1:32" s="4299" customFormat="1" ht="11.45" customHeight="1">
      <c r="A58" s="913"/>
      <c r="B58" s="1557"/>
      <c r="C58" s="1557"/>
      <c r="D58" s="289"/>
      <c r="K58" s="1081"/>
      <c r="L58" s="1557"/>
      <c r="M58" s="1557"/>
      <c r="N58" s="1081"/>
      <c r="O58" s="1081"/>
      <c r="P58" s="1081"/>
      <c r="Q58" s="1081"/>
      <c r="R58" s="1557"/>
      <c r="S58" s="1081"/>
      <c r="T58" s="1081"/>
      <c r="U58" s="482"/>
      <c r="V58" s="1081"/>
      <c r="W58" s="1081"/>
      <c r="X58" s="1081"/>
      <c r="Y58" s="1081"/>
      <c r="Z58" s="1081"/>
      <c r="AA58" s="1553"/>
      <c r="AB58" s="504"/>
      <c r="AC58" s="504"/>
      <c r="AD58" s="504"/>
      <c r="AE58" s="504"/>
      <c r="AF58" s="1562">
        <v>11</v>
      </c>
    </row>
    <row r="59" spans="1:32" s="4299" customFormat="1" ht="11.45" customHeight="1">
      <c r="A59" s="913"/>
      <c r="B59" s="1557"/>
      <c r="C59" s="1557"/>
      <c r="D59" s="289"/>
      <c r="K59" s="1081"/>
      <c r="L59" s="1557"/>
      <c r="M59" s="1557"/>
      <c r="N59" s="1081"/>
      <c r="O59" s="1081"/>
      <c r="P59" s="1081"/>
      <c r="Q59" s="1081"/>
      <c r="R59" s="1557"/>
      <c r="S59" s="1081"/>
      <c r="T59" s="1081"/>
      <c r="U59" s="482"/>
      <c r="V59" s="1081"/>
      <c r="W59" s="1081"/>
      <c r="X59" s="1081"/>
      <c r="Y59" s="1081"/>
      <c r="Z59" s="1081"/>
      <c r="AA59" s="1553"/>
      <c r="AB59" s="504"/>
      <c r="AC59" s="504"/>
      <c r="AD59" s="504"/>
      <c r="AE59" s="504"/>
      <c r="AF59" s="1562">
        <v>11</v>
      </c>
    </row>
    <row r="60" spans="1:32" s="4299" customFormat="1" ht="11.45" customHeight="1">
      <c r="A60" s="913"/>
      <c r="B60" s="1557"/>
      <c r="C60" s="1557"/>
      <c r="D60" s="289"/>
      <c r="K60" s="1081"/>
      <c r="L60" s="1557"/>
      <c r="M60" s="1557"/>
      <c r="N60" s="1081"/>
      <c r="O60" s="1081"/>
      <c r="P60" s="1081"/>
      <c r="Q60" s="1081"/>
      <c r="R60" s="1557"/>
      <c r="S60" s="1081"/>
      <c r="T60" s="1081"/>
      <c r="U60" s="482"/>
      <c r="V60" s="1081"/>
      <c r="W60" s="1081"/>
      <c r="X60" s="1081"/>
      <c r="Y60" s="1081"/>
      <c r="Z60" s="1081"/>
      <c r="AA60" s="1553"/>
      <c r="AB60" s="504"/>
      <c r="AC60" s="504"/>
      <c r="AD60" s="504"/>
      <c r="AE60" s="504"/>
      <c r="AF60" s="1562">
        <v>11</v>
      </c>
    </row>
    <row r="61" spans="1:32" s="4299" customFormat="1" ht="11.45" customHeight="1">
      <c r="A61" s="913"/>
      <c r="B61" s="1557"/>
      <c r="C61" s="1557"/>
      <c r="D61" s="289"/>
      <c r="K61" s="1081"/>
      <c r="L61" s="1557"/>
      <c r="M61" s="1557"/>
      <c r="N61" s="1081"/>
      <c r="O61" s="1081"/>
      <c r="P61" s="1081"/>
      <c r="Q61" s="1081"/>
      <c r="R61" s="1557"/>
      <c r="S61" s="1081"/>
      <c r="T61" s="1081"/>
      <c r="U61" s="482"/>
      <c r="V61" s="1081"/>
      <c r="W61" s="1081"/>
      <c r="X61" s="1081"/>
      <c r="Y61" s="1081"/>
      <c r="Z61" s="1081"/>
      <c r="AA61" s="1553"/>
      <c r="AB61" s="504"/>
      <c r="AC61" s="504"/>
      <c r="AD61" s="504"/>
      <c r="AE61" s="504"/>
      <c r="AF61" s="1562">
        <v>11</v>
      </c>
    </row>
    <row r="62" spans="1:32" s="4299" customFormat="1" ht="11.45" customHeight="1">
      <c r="A62" s="913"/>
      <c r="B62" s="1557"/>
      <c r="C62" s="1557"/>
      <c r="D62" s="289"/>
      <c r="K62" s="1081"/>
      <c r="L62" s="1557"/>
      <c r="M62" s="1557"/>
      <c r="N62" s="1081"/>
      <c r="O62" s="1081"/>
      <c r="P62" s="1081"/>
      <c r="Q62" s="1081"/>
      <c r="R62" s="1557"/>
      <c r="S62" s="1081"/>
      <c r="T62" s="1081"/>
      <c r="U62" s="482"/>
      <c r="V62" s="1081"/>
      <c r="W62" s="1081"/>
      <c r="X62" s="1081"/>
      <c r="Y62" s="1081"/>
      <c r="Z62" s="1081"/>
      <c r="AA62" s="1553"/>
      <c r="AB62" s="504"/>
      <c r="AC62" s="504"/>
      <c r="AD62" s="504"/>
      <c r="AE62" s="504"/>
      <c r="AF62" s="1562">
        <v>11</v>
      </c>
    </row>
    <row r="63" spans="1:32" s="4299" customFormat="1" ht="11.45" customHeight="1">
      <c r="A63" s="913"/>
      <c r="B63" s="1557"/>
      <c r="C63" s="1557"/>
      <c r="D63" s="289"/>
      <c r="K63" s="1081"/>
      <c r="L63" s="1557"/>
      <c r="M63" s="1557"/>
      <c r="N63" s="1081"/>
      <c r="O63" s="1081"/>
      <c r="P63" s="1081"/>
      <c r="Q63" s="1081"/>
      <c r="R63" s="1557"/>
      <c r="S63" s="1081"/>
      <c r="T63" s="1081"/>
      <c r="U63" s="482"/>
      <c r="V63" s="1081"/>
      <c r="W63" s="1081"/>
      <c r="X63" s="1081"/>
      <c r="Y63" s="1081"/>
      <c r="Z63" s="1081"/>
      <c r="AA63" s="1553"/>
      <c r="AB63" s="504"/>
      <c r="AC63" s="504"/>
      <c r="AD63" s="504"/>
      <c r="AE63" s="504"/>
      <c r="AF63" s="1562">
        <v>11</v>
      </c>
    </row>
    <row r="64" spans="1:32" s="4299" customFormat="1" ht="11.45" customHeight="1">
      <c r="A64" s="913"/>
      <c r="B64" s="1557"/>
      <c r="C64" s="1557"/>
      <c r="D64" s="289"/>
      <c r="K64" s="1081"/>
      <c r="L64" s="1557"/>
      <c r="M64" s="1557"/>
      <c r="N64" s="1081"/>
      <c r="O64" s="1081"/>
      <c r="P64" s="1081"/>
      <c r="Q64" s="1081"/>
      <c r="R64" s="1557"/>
      <c r="S64" s="1081"/>
      <c r="T64" s="1081"/>
      <c r="U64" s="482"/>
      <c r="V64" s="1081"/>
      <c r="W64" s="1081"/>
      <c r="X64" s="1081"/>
      <c r="Y64" s="1081"/>
      <c r="Z64" s="1081"/>
      <c r="AA64" s="1553"/>
      <c r="AB64" s="504"/>
      <c r="AC64" s="504"/>
      <c r="AD64" s="504"/>
      <c r="AE64" s="504"/>
      <c r="AF64" s="1562">
        <v>11</v>
      </c>
    </row>
    <row r="65" spans="1:32" s="4299" customFormat="1" ht="11.45" customHeight="1">
      <c r="A65" s="913"/>
      <c r="B65" s="1557"/>
      <c r="C65" s="1557"/>
      <c r="D65" s="289"/>
      <c r="K65" s="1081"/>
      <c r="L65" s="1557"/>
      <c r="M65" s="1557"/>
      <c r="N65" s="1081"/>
      <c r="O65" s="1081"/>
      <c r="P65" s="1081"/>
      <c r="Q65" s="1081"/>
      <c r="R65" s="1557"/>
      <c r="S65" s="1081"/>
      <c r="T65" s="1081"/>
      <c r="U65" s="482"/>
      <c r="V65" s="1081"/>
      <c r="W65" s="1081"/>
      <c r="X65" s="1081"/>
      <c r="Y65" s="1081"/>
      <c r="Z65" s="1081"/>
      <c r="AA65" s="1553"/>
      <c r="AB65" s="504"/>
      <c r="AC65" s="504"/>
      <c r="AD65" s="504"/>
      <c r="AE65" s="504"/>
      <c r="AF65" s="1562">
        <v>11</v>
      </c>
    </row>
    <row r="66" spans="1:32" s="4299" customFormat="1" ht="11.45" customHeight="1">
      <c r="A66" s="913"/>
      <c r="B66" s="1557"/>
      <c r="C66" s="1557"/>
      <c r="D66" s="289"/>
      <c r="K66" s="1081"/>
      <c r="L66" s="1557"/>
      <c r="M66" s="1557"/>
      <c r="N66" s="1081"/>
      <c r="O66" s="1081"/>
      <c r="P66" s="1081"/>
      <c r="Q66" s="1081"/>
      <c r="R66" s="1557"/>
      <c r="S66" s="1081"/>
      <c r="T66" s="1081"/>
      <c r="U66" s="482"/>
      <c r="V66" s="1081"/>
      <c r="W66" s="1081"/>
      <c r="X66" s="1081"/>
      <c r="Y66" s="1081"/>
      <c r="Z66" s="1081"/>
      <c r="AA66" s="1553"/>
      <c r="AB66" s="504"/>
      <c r="AC66" s="504"/>
      <c r="AD66" s="504"/>
      <c r="AE66" s="504"/>
      <c r="AF66" s="1562">
        <v>11</v>
      </c>
    </row>
    <row r="67" spans="1:32" s="4299" customFormat="1" ht="11.45" customHeight="1">
      <c r="A67" s="913"/>
      <c r="B67" s="1557"/>
      <c r="C67" s="1557"/>
      <c r="D67" s="289"/>
      <c r="K67" s="1081"/>
      <c r="L67" s="1557"/>
      <c r="M67" s="1557"/>
      <c r="N67" s="1081"/>
      <c r="O67" s="1081"/>
      <c r="P67" s="1081"/>
      <c r="Q67" s="1081"/>
      <c r="R67" s="1557"/>
      <c r="S67" s="1081"/>
      <c r="T67" s="1081"/>
      <c r="U67" s="482"/>
      <c r="V67" s="1081"/>
      <c r="W67" s="1081"/>
      <c r="X67" s="1081"/>
      <c r="Y67" s="1081"/>
      <c r="Z67" s="1081"/>
      <c r="AA67" s="1553"/>
      <c r="AB67" s="504"/>
      <c r="AC67" s="504"/>
      <c r="AD67" s="504"/>
      <c r="AE67" s="504"/>
      <c r="AF67" s="1562">
        <v>11</v>
      </c>
    </row>
    <row r="68" spans="1:32" s="4299" customFormat="1" ht="11.45" customHeight="1">
      <c r="A68" s="913"/>
      <c r="B68" s="1557"/>
      <c r="C68" s="1557"/>
      <c r="D68" s="289"/>
      <c r="K68" s="1081"/>
      <c r="L68" s="1557"/>
      <c r="M68" s="1557"/>
      <c r="N68" s="1081"/>
      <c r="O68" s="1081"/>
      <c r="P68" s="1081"/>
      <c r="Q68" s="1081"/>
      <c r="R68" s="1557"/>
      <c r="S68" s="1081"/>
      <c r="T68" s="1081"/>
      <c r="U68" s="482"/>
      <c r="V68" s="1081"/>
      <c r="W68" s="1081"/>
      <c r="X68" s="1081"/>
      <c r="Y68" s="1081"/>
      <c r="Z68" s="1081"/>
      <c r="AA68" s="1553"/>
      <c r="AB68" s="504"/>
      <c r="AC68" s="504"/>
      <c r="AD68" s="504"/>
      <c r="AE68" s="504"/>
      <c r="AF68" s="1562">
        <v>11</v>
      </c>
    </row>
    <row r="69" spans="1:32" s="4299" customFormat="1" ht="11.45" customHeight="1">
      <c r="A69" s="913"/>
      <c r="B69" s="1557"/>
      <c r="C69" s="1557"/>
      <c r="D69" s="289"/>
      <c r="K69" s="1081"/>
      <c r="L69" s="1557"/>
      <c r="M69" s="1557"/>
      <c r="N69" s="1081"/>
      <c r="O69" s="1081"/>
      <c r="P69" s="1081"/>
      <c r="Q69" s="1081"/>
      <c r="R69" s="1557"/>
      <c r="S69" s="1081"/>
      <c r="T69" s="1081"/>
      <c r="U69" s="482"/>
      <c r="V69" s="1081"/>
      <c r="W69" s="1081"/>
      <c r="X69" s="1081"/>
      <c r="Y69" s="1081"/>
      <c r="Z69" s="1081"/>
      <c r="AA69" s="1553"/>
      <c r="AB69" s="504"/>
      <c r="AC69" s="504"/>
      <c r="AD69" s="504"/>
      <c r="AE69" s="504"/>
      <c r="AF69" s="1562">
        <v>11</v>
      </c>
    </row>
    <row r="70" spans="1:32" s="4299" customFormat="1" ht="11.45" customHeight="1">
      <c r="A70" s="913"/>
      <c r="B70" s="1557"/>
      <c r="C70" s="1557"/>
      <c r="D70" s="289"/>
      <c r="K70" s="1081"/>
      <c r="L70" s="1557"/>
      <c r="M70" s="1557"/>
      <c r="N70" s="1081"/>
      <c r="O70" s="1081"/>
      <c r="P70" s="1081"/>
      <c r="Q70" s="1081"/>
      <c r="R70" s="1557"/>
      <c r="S70" s="1081"/>
      <c r="T70" s="1081"/>
      <c r="U70" s="482"/>
      <c r="V70" s="1081"/>
      <c r="W70" s="1081"/>
      <c r="X70" s="1081"/>
      <c r="Y70" s="1081"/>
      <c r="Z70" s="1081"/>
      <c r="AA70" s="1553"/>
      <c r="AB70" s="504"/>
      <c r="AC70" s="504"/>
      <c r="AD70" s="504"/>
      <c r="AE70" s="504"/>
      <c r="AF70" s="1562">
        <v>11</v>
      </c>
    </row>
    <row r="71" spans="1:32" s="4299" customFormat="1" ht="11.45" customHeight="1">
      <c r="A71" s="913"/>
      <c r="B71" s="1557"/>
      <c r="C71" s="1557"/>
      <c r="D71" s="289"/>
      <c r="K71" s="1081"/>
      <c r="L71" s="1557"/>
      <c r="M71" s="1557"/>
      <c r="N71" s="1081"/>
      <c r="O71" s="1081"/>
      <c r="P71" s="1081"/>
      <c r="Q71" s="1081"/>
      <c r="R71" s="1557"/>
      <c r="S71" s="1081"/>
      <c r="T71" s="1081"/>
      <c r="U71" s="482"/>
      <c r="V71" s="1081"/>
      <c r="W71" s="1081"/>
      <c r="X71" s="1081"/>
      <c r="Y71" s="1081"/>
      <c r="Z71" s="1081"/>
      <c r="AA71" s="1553"/>
      <c r="AB71" s="504"/>
      <c r="AC71" s="504"/>
      <c r="AD71" s="504"/>
      <c r="AE71" s="504"/>
      <c r="AF71" s="1562">
        <v>11</v>
      </c>
    </row>
    <row r="72" spans="1:32" s="4299" customFormat="1" ht="11.45" customHeight="1">
      <c r="A72" s="913"/>
      <c r="B72" s="1557"/>
      <c r="C72" s="1557"/>
      <c r="D72" s="289"/>
      <c r="K72" s="1081"/>
      <c r="L72" s="1557"/>
      <c r="M72" s="1557"/>
      <c r="N72" s="1081"/>
      <c r="O72" s="1081"/>
      <c r="P72" s="1081"/>
      <c r="Q72" s="1081"/>
      <c r="R72" s="1557"/>
      <c r="S72" s="1081"/>
      <c r="T72" s="1081"/>
      <c r="U72" s="482"/>
      <c r="V72" s="1081"/>
      <c r="W72" s="1081"/>
      <c r="X72" s="1081"/>
      <c r="Y72" s="1081"/>
      <c r="Z72" s="1081"/>
      <c r="AA72" s="1553"/>
      <c r="AB72" s="504"/>
      <c r="AC72" s="504"/>
      <c r="AD72" s="504"/>
      <c r="AE72" s="504"/>
      <c r="AF72" s="1562">
        <v>11</v>
      </c>
    </row>
    <row r="73" spans="1:32" s="4299" customFormat="1" ht="11.45" customHeight="1">
      <c r="A73" s="913"/>
      <c r="B73" s="1557"/>
      <c r="C73" s="1557"/>
      <c r="D73" s="289"/>
      <c r="K73" s="1081"/>
      <c r="L73" s="1557"/>
      <c r="M73" s="1557"/>
      <c r="N73" s="1081"/>
      <c r="O73" s="1081"/>
      <c r="P73" s="1081"/>
      <c r="Q73" s="1081"/>
      <c r="R73" s="1557"/>
      <c r="S73" s="1081"/>
      <c r="T73" s="1081"/>
      <c r="U73" s="482"/>
      <c r="V73" s="1081"/>
      <c r="W73" s="1081"/>
      <c r="X73" s="1081"/>
      <c r="Y73" s="1081"/>
      <c r="Z73" s="1081"/>
      <c r="AA73" s="1553"/>
      <c r="AB73" s="504"/>
      <c r="AC73" s="504"/>
      <c r="AD73" s="504"/>
      <c r="AE73" s="504"/>
      <c r="AF73" s="1562">
        <v>11</v>
      </c>
    </row>
    <row r="74" spans="1:32" s="4299" customFormat="1" ht="11.45" customHeight="1">
      <c r="A74" s="913"/>
      <c r="B74" s="1557"/>
      <c r="C74" s="1557"/>
      <c r="D74" s="289"/>
      <c r="K74" s="1081"/>
      <c r="L74" s="1557"/>
      <c r="M74" s="1557"/>
      <c r="N74" s="1081"/>
      <c r="O74" s="1081"/>
      <c r="P74" s="1081"/>
      <c r="Q74" s="1081"/>
      <c r="R74" s="1557"/>
      <c r="S74" s="1081"/>
      <c r="T74" s="1081"/>
      <c r="U74" s="482"/>
      <c r="V74" s="1081"/>
      <c r="W74" s="1081"/>
      <c r="X74" s="1081"/>
      <c r="Y74" s="1081"/>
      <c r="Z74" s="1081"/>
      <c r="AA74" s="1553"/>
      <c r="AB74" s="504"/>
      <c r="AC74" s="504"/>
      <c r="AD74" s="504"/>
      <c r="AE74" s="504"/>
      <c r="AF74" s="1562">
        <v>11</v>
      </c>
    </row>
    <row r="75" spans="1:32" s="4299" customFormat="1" ht="11.45" customHeight="1">
      <c r="A75" s="913"/>
      <c r="B75" s="1557"/>
      <c r="C75" s="1557"/>
      <c r="D75" s="289"/>
      <c r="K75" s="1081"/>
      <c r="L75" s="1557"/>
      <c r="M75" s="1557"/>
      <c r="N75" s="1081"/>
      <c r="O75" s="1081"/>
      <c r="P75" s="1081"/>
      <c r="Q75" s="1081"/>
      <c r="R75" s="1557"/>
      <c r="S75" s="1081"/>
      <c r="T75" s="1081"/>
      <c r="U75" s="482"/>
      <c r="V75" s="1081"/>
      <c r="W75" s="1081"/>
      <c r="X75" s="1081"/>
      <c r="Y75" s="1081"/>
      <c r="Z75" s="1081"/>
      <c r="AA75" s="1553"/>
      <c r="AB75" s="504"/>
      <c r="AC75" s="504"/>
      <c r="AD75" s="504"/>
      <c r="AE75" s="504"/>
      <c r="AF75" s="1562">
        <v>11</v>
      </c>
    </row>
    <row r="76" spans="1:32" s="4299" customFormat="1" ht="11.45" customHeight="1">
      <c r="A76" s="913"/>
      <c r="B76" s="1557"/>
      <c r="C76" s="1557"/>
      <c r="D76" s="289"/>
      <c r="K76" s="1081"/>
      <c r="L76" s="1557"/>
      <c r="M76" s="1557"/>
      <c r="N76" s="1081"/>
      <c r="O76" s="1081"/>
      <c r="P76" s="1081"/>
      <c r="Q76" s="1081"/>
      <c r="R76" s="1557"/>
      <c r="S76" s="1081"/>
      <c r="T76" s="1081"/>
      <c r="U76" s="482"/>
      <c r="V76" s="1081"/>
      <c r="W76" s="1081"/>
      <c r="X76" s="1081"/>
      <c r="Y76" s="1081"/>
      <c r="Z76" s="1081"/>
      <c r="AA76" s="1553"/>
      <c r="AB76" s="504"/>
      <c r="AC76" s="504"/>
      <c r="AD76" s="504"/>
      <c r="AE76" s="504"/>
      <c r="AF76" s="1562">
        <v>11</v>
      </c>
    </row>
    <row r="77" spans="1:32" s="4299" customFormat="1" ht="11.45" customHeight="1">
      <c r="A77" s="913"/>
      <c r="B77" s="1557"/>
      <c r="C77" s="1557"/>
      <c r="D77" s="289"/>
      <c r="K77" s="1081"/>
      <c r="L77" s="1557"/>
      <c r="M77" s="1557"/>
      <c r="N77" s="1081"/>
      <c r="O77" s="1081"/>
      <c r="P77" s="1081"/>
      <c r="Q77" s="1081"/>
      <c r="R77" s="1557"/>
      <c r="S77" s="1081"/>
      <c r="T77" s="1081"/>
      <c r="U77" s="482"/>
      <c r="V77" s="1081"/>
      <c r="W77" s="1081"/>
      <c r="X77" s="1081"/>
      <c r="Y77" s="1081"/>
      <c r="Z77" s="1081"/>
      <c r="AA77" s="1553"/>
      <c r="AB77" s="504"/>
      <c r="AC77" s="504"/>
      <c r="AD77" s="504"/>
      <c r="AE77" s="504"/>
      <c r="AF77" s="1562">
        <v>11</v>
      </c>
    </row>
    <row r="78" spans="1:32" s="4299" customFormat="1" ht="11.45" customHeight="1">
      <c r="A78" s="913"/>
      <c r="B78" s="1557"/>
      <c r="C78" s="1557"/>
      <c r="D78" s="289"/>
      <c r="K78" s="1081"/>
      <c r="L78" s="1557"/>
      <c r="M78" s="1557"/>
      <c r="N78" s="1081"/>
      <c r="O78" s="1081"/>
      <c r="P78" s="1081"/>
      <c r="Q78" s="1081"/>
      <c r="R78" s="1557"/>
      <c r="S78" s="1081"/>
      <c r="T78" s="1081"/>
      <c r="U78" s="482"/>
      <c r="V78" s="1081"/>
      <c r="W78" s="1081"/>
      <c r="X78" s="1081"/>
      <c r="Y78" s="1081"/>
      <c r="Z78" s="1081"/>
      <c r="AA78" s="1553"/>
      <c r="AB78" s="504"/>
      <c r="AC78" s="504"/>
      <c r="AD78" s="504"/>
      <c r="AE78" s="504"/>
      <c r="AF78" s="1562">
        <v>11</v>
      </c>
    </row>
    <row r="79" spans="1:32" s="4299" customFormat="1" ht="11.45" customHeight="1">
      <c r="A79" s="913"/>
      <c r="B79" s="1557"/>
      <c r="C79" s="1557"/>
      <c r="D79" s="289"/>
      <c r="K79" s="1081"/>
      <c r="L79" s="1557"/>
      <c r="M79" s="1557"/>
      <c r="N79" s="1081"/>
      <c r="O79" s="1081"/>
      <c r="P79" s="1081"/>
      <c r="Q79" s="1081"/>
      <c r="R79" s="1557"/>
      <c r="S79" s="1081"/>
      <c r="T79" s="1081"/>
      <c r="U79" s="482"/>
      <c r="V79" s="1081"/>
      <c r="W79" s="1081"/>
      <c r="X79" s="1081"/>
      <c r="Y79" s="1081"/>
      <c r="Z79" s="1081"/>
      <c r="AA79" s="1553"/>
      <c r="AB79" s="504"/>
      <c r="AC79" s="504"/>
      <c r="AD79" s="504"/>
      <c r="AE79" s="504"/>
      <c r="AF79" s="1562">
        <v>11</v>
      </c>
    </row>
    <row r="80" spans="1:32" s="4299" customFormat="1" ht="11.45" customHeight="1">
      <c r="A80" s="913"/>
      <c r="B80" s="1557"/>
      <c r="C80" s="1557"/>
      <c r="D80" s="289"/>
      <c r="K80" s="1081"/>
      <c r="L80" s="1557"/>
      <c r="M80" s="1557"/>
      <c r="N80" s="1081"/>
      <c r="O80" s="1081"/>
      <c r="P80" s="1081"/>
      <c r="Q80" s="1081"/>
      <c r="R80" s="1557"/>
      <c r="S80" s="1081"/>
      <c r="T80" s="1081"/>
      <c r="U80" s="482"/>
      <c r="V80" s="1081"/>
      <c r="W80" s="1081"/>
      <c r="X80" s="1081"/>
      <c r="Y80" s="1081"/>
      <c r="Z80" s="1081"/>
      <c r="AA80" s="1553"/>
      <c r="AB80" s="504"/>
      <c r="AC80" s="504"/>
      <c r="AD80" s="504"/>
      <c r="AE80" s="504"/>
      <c r="AF80" s="1562">
        <v>11</v>
      </c>
    </row>
    <row r="81" spans="1:32" s="4299" customFormat="1" ht="11.45" customHeight="1">
      <c r="A81" s="913"/>
      <c r="B81" s="1557"/>
      <c r="C81" s="1557"/>
      <c r="D81" s="289"/>
      <c r="K81" s="1081"/>
      <c r="L81" s="1557"/>
      <c r="M81" s="1557"/>
      <c r="N81" s="1081"/>
      <c r="O81" s="1081"/>
      <c r="P81" s="1081"/>
      <c r="Q81" s="1081"/>
      <c r="R81" s="1557"/>
      <c r="S81" s="1081"/>
      <c r="T81" s="1081"/>
      <c r="U81" s="482"/>
      <c r="V81" s="1081"/>
      <c r="W81" s="1081"/>
      <c r="X81" s="1081"/>
      <c r="Y81" s="1081"/>
      <c r="Z81" s="1081"/>
      <c r="AA81" s="1553"/>
      <c r="AB81" s="504"/>
      <c r="AC81" s="504"/>
      <c r="AD81" s="504"/>
      <c r="AE81" s="504"/>
      <c r="AF81" s="1562">
        <v>11</v>
      </c>
    </row>
    <row r="82" spans="1:32" s="4299" customFormat="1" ht="11.45" customHeight="1">
      <c r="A82" s="913"/>
      <c r="B82" s="1557"/>
      <c r="C82" s="1557"/>
      <c r="D82" s="289"/>
      <c r="K82" s="1081"/>
      <c r="L82" s="1557"/>
      <c r="M82" s="1557"/>
      <c r="N82" s="1081"/>
      <c r="O82" s="1081"/>
      <c r="P82" s="1081"/>
      <c r="Q82" s="1081"/>
      <c r="R82" s="1557"/>
      <c r="S82" s="1081"/>
      <c r="T82" s="1081"/>
      <c r="U82" s="482"/>
      <c r="V82" s="1081"/>
      <c r="W82" s="1081"/>
      <c r="X82" s="1081"/>
      <c r="Y82" s="1081"/>
      <c r="Z82" s="1081"/>
      <c r="AA82" s="1553"/>
      <c r="AB82" s="504"/>
      <c r="AC82" s="504"/>
      <c r="AD82" s="504"/>
      <c r="AE82" s="504"/>
      <c r="AF82" s="1562">
        <v>11</v>
      </c>
    </row>
    <row r="83" spans="1:32" s="4299" customFormat="1" ht="11.45" customHeight="1">
      <c r="A83" s="913"/>
      <c r="B83" s="1557"/>
      <c r="C83" s="1557"/>
      <c r="D83" s="289"/>
      <c r="K83" s="1081"/>
      <c r="L83" s="1557"/>
      <c r="M83" s="1557"/>
      <c r="N83" s="1081"/>
      <c r="O83" s="1081"/>
      <c r="P83" s="1081"/>
      <c r="Q83" s="1081"/>
      <c r="R83" s="1557"/>
      <c r="S83" s="1081"/>
      <c r="T83" s="1081"/>
      <c r="U83" s="482"/>
      <c r="V83" s="1081"/>
      <c r="W83" s="1081"/>
      <c r="X83" s="1081"/>
      <c r="Y83" s="1081"/>
      <c r="Z83" s="1081"/>
      <c r="AA83" s="1553"/>
      <c r="AB83" s="504"/>
      <c r="AC83" s="504"/>
      <c r="AD83" s="504"/>
      <c r="AE83" s="504"/>
      <c r="AF83" s="1562">
        <v>11</v>
      </c>
    </row>
    <row r="84" spans="1:32" s="4299" customFormat="1" ht="11.45" customHeight="1">
      <c r="A84" s="913"/>
      <c r="B84" s="1557"/>
      <c r="C84" s="1557"/>
      <c r="D84" s="289"/>
      <c r="K84" s="1081"/>
      <c r="L84" s="1557"/>
      <c r="M84" s="1557"/>
      <c r="N84" s="1081"/>
      <c r="O84" s="1081"/>
      <c r="P84" s="1081"/>
      <c r="Q84" s="1081"/>
      <c r="R84" s="1557"/>
      <c r="S84" s="1081"/>
      <c r="T84" s="1081"/>
      <c r="U84" s="482"/>
      <c r="V84" s="1081"/>
      <c r="W84" s="1081"/>
      <c r="X84" s="1081"/>
      <c r="Y84" s="1081"/>
      <c r="Z84" s="1081"/>
      <c r="AA84" s="1553"/>
      <c r="AB84" s="504"/>
      <c r="AC84" s="504"/>
      <c r="AD84" s="504"/>
      <c r="AE84" s="504"/>
      <c r="AF84" s="1562">
        <v>11</v>
      </c>
    </row>
    <row r="85" spans="1:32" s="4299" customFormat="1" ht="11.45" customHeight="1">
      <c r="A85" s="913"/>
      <c r="B85" s="1557"/>
      <c r="C85" s="1557"/>
      <c r="D85" s="289"/>
      <c r="K85" s="1081"/>
      <c r="L85" s="1557"/>
      <c r="M85" s="1557"/>
      <c r="N85" s="1081"/>
      <c r="O85" s="1081"/>
      <c r="P85" s="1081"/>
      <c r="Q85" s="1081"/>
      <c r="R85" s="1557"/>
      <c r="S85" s="1081"/>
      <c r="T85" s="1081"/>
      <c r="U85" s="482"/>
      <c r="V85" s="1081"/>
      <c r="W85" s="1081"/>
      <c r="X85" s="1081"/>
      <c r="Y85" s="1081"/>
      <c r="Z85" s="1081"/>
      <c r="AA85" s="1553"/>
      <c r="AB85" s="504"/>
      <c r="AC85" s="504"/>
      <c r="AD85" s="504"/>
      <c r="AE85" s="504"/>
      <c r="AF85" s="1562">
        <v>11</v>
      </c>
    </row>
    <row r="86" spans="1:32" s="4299" customFormat="1" ht="11.45" customHeight="1">
      <c r="A86" s="913"/>
      <c r="B86" s="1557"/>
      <c r="C86" s="1557"/>
      <c r="D86" s="289"/>
      <c r="K86" s="1081"/>
      <c r="L86" s="1557"/>
      <c r="M86" s="1557"/>
      <c r="N86" s="1081"/>
      <c r="O86" s="1081"/>
      <c r="P86" s="1081"/>
      <c r="Q86" s="1081"/>
      <c r="R86" s="1557"/>
      <c r="S86" s="1081"/>
      <c r="T86" s="1081"/>
      <c r="U86" s="482"/>
      <c r="V86" s="1081"/>
      <c r="W86" s="1081"/>
      <c r="X86" s="1081"/>
      <c r="Y86" s="1081"/>
      <c r="Z86" s="1081"/>
      <c r="AA86" s="1553"/>
      <c r="AB86" s="504"/>
      <c r="AC86" s="504"/>
      <c r="AD86" s="504"/>
      <c r="AE86" s="504"/>
      <c r="AF86" s="1562">
        <v>11</v>
      </c>
    </row>
    <row r="87" spans="1:32" s="4299" customFormat="1" ht="11.45" customHeight="1">
      <c r="A87" s="913"/>
      <c r="B87" s="1557"/>
      <c r="C87" s="1557"/>
      <c r="D87" s="289"/>
      <c r="K87" s="1081"/>
      <c r="L87" s="1557"/>
      <c r="M87" s="1557"/>
      <c r="N87" s="1081"/>
      <c r="O87" s="1081"/>
      <c r="P87" s="1081"/>
      <c r="Q87" s="1081"/>
      <c r="R87" s="1557"/>
      <c r="S87" s="1081"/>
      <c r="T87" s="1081"/>
      <c r="U87" s="482"/>
      <c r="V87" s="1081"/>
      <c r="W87" s="1081"/>
      <c r="X87" s="1081"/>
      <c r="Y87" s="1081"/>
      <c r="Z87" s="1081"/>
      <c r="AA87" s="1553"/>
      <c r="AB87" s="504"/>
      <c r="AC87" s="504"/>
      <c r="AD87" s="504"/>
      <c r="AE87" s="504"/>
      <c r="AF87" s="1562">
        <v>11</v>
      </c>
    </row>
    <row r="88" spans="1:32" s="4299" customFormat="1" ht="11.45" customHeight="1">
      <c r="A88" s="913"/>
      <c r="B88" s="1557"/>
      <c r="C88" s="1557"/>
      <c r="D88" s="289"/>
      <c r="K88" s="1081"/>
      <c r="L88" s="1557"/>
      <c r="M88" s="1557"/>
      <c r="N88" s="1081"/>
      <c r="O88" s="1081"/>
      <c r="P88" s="1081"/>
      <c r="Q88" s="1081"/>
      <c r="R88" s="1557"/>
      <c r="S88" s="1081"/>
      <c r="T88" s="1081"/>
      <c r="U88" s="482"/>
      <c r="V88" s="1081"/>
      <c r="W88" s="1081"/>
      <c r="X88" s="1081"/>
      <c r="Y88" s="1081"/>
      <c r="Z88" s="1081"/>
      <c r="AA88" s="1553"/>
      <c r="AB88" s="504"/>
      <c r="AC88" s="504"/>
      <c r="AD88" s="504"/>
      <c r="AE88" s="504"/>
      <c r="AF88" s="1562">
        <v>11</v>
      </c>
    </row>
    <row r="89" spans="1:32" s="4299" customFormat="1" ht="11.45" customHeight="1">
      <c r="A89" s="913"/>
      <c r="B89" s="1557"/>
      <c r="C89" s="1557"/>
      <c r="D89" s="289"/>
      <c r="K89" s="1081"/>
      <c r="L89" s="1557"/>
      <c r="M89" s="1557"/>
      <c r="N89" s="1081"/>
      <c r="O89" s="1081"/>
      <c r="P89" s="1081"/>
      <c r="Q89" s="1081"/>
      <c r="R89" s="1557"/>
      <c r="S89" s="1081"/>
      <c r="T89" s="1081"/>
      <c r="U89" s="482"/>
      <c r="V89" s="1081"/>
      <c r="W89" s="1081"/>
      <c r="X89" s="1081"/>
      <c r="Y89" s="1081"/>
      <c r="Z89" s="1081"/>
      <c r="AA89" s="1553"/>
      <c r="AB89" s="504"/>
      <c r="AC89" s="504"/>
      <c r="AD89" s="504"/>
      <c r="AE89" s="504"/>
      <c r="AF89" s="1562">
        <v>11</v>
      </c>
    </row>
    <row r="90" spans="1:32" s="4299" customFormat="1" ht="11.45" customHeight="1">
      <c r="A90" s="913"/>
      <c r="B90" s="1557"/>
      <c r="C90" s="1557"/>
      <c r="D90" s="289"/>
      <c r="K90" s="1081"/>
      <c r="L90" s="1557"/>
      <c r="M90" s="1557"/>
      <c r="N90" s="1081"/>
      <c r="O90" s="1081"/>
      <c r="P90" s="1081"/>
      <c r="Q90" s="1081"/>
      <c r="R90" s="1557"/>
      <c r="S90" s="1081"/>
      <c r="T90" s="1081"/>
      <c r="U90" s="482"/>
      <c r="V90" s="1081"/>
      <c r="W90" s="1081"/>
      <c r="X90" s="1081"/>
      <c r="Y90" s="1081"/>
      <c r="Z90" s="1081"/>
      <c r="AA90" s="1553"/>
      <c r="AB90" s="504"/>
      <c r="AC90" s="504"/>
      <c r="AD90" s="504"/>
      <c r="AE90" s="504"/>
      <c r="AF90" s="1562">
        <v>11</v>
      </c>
    </row>
    <row r="91" spans="1:32" s="4299" customFormat="1" ht="11.45" customHeight="1">
      <c r="A91" s="913"/>
      <c r="B91" s="1557"/>
      <c r="C91" s="1557"/>
      <c r="D91" s="289"/>
      <c r="K91" s="1081"/>
      <c r="L91" s="1557"/>
      <c r="M91" s="1557"/>
      <c r="N91" s="1081"/>
      <c r="O91" s="1081"/>
      <c r="P91" s="1081"/>
      <c r="Q91" s="1081"/>
      <c r="R91" s="1557"/>
      <c r="S91" s="1081"/>
      <c r="T91" s="1081"/>
      <c r="U91" s="482"/>
      <c r="V91" s="1081"/>
      <c r="W91" s="1081"/>
      <c r="X91" s="1081"/>
      <c r="Y91" s="1081"/>
      <c r="Z91" s="1081"/>
      <c r="AA91" s="1553"/>
      <c r="AB91" s="504"/>
      <c r="AC91" s="504"/>
      <c r="AD91" s="504"/>
      <c r="AE91" s="504"/>
      <c r="AF91" s="1562">
        <v>11</v>
      </c>
    </row>
    <row r="92" spans="1:32" s="4299" customFormat="1" ht="11.45" customHeight="1">
      <c r="A92" s="913"/>
      <c r="B92" s="1557"/>
      <c r="C92" s="1557"/>
      <c r="D92" s="289"/>
      <c r="K92" s="1081"/>
      <c r="L92" s="1557"/>
      <c r="M92" s="1557"/>
      <c r="N92" s="1081"/>
      <c r="O92" s="1081"/>
      <c r="P92" s="1081"/>
      <c r="Q92" s="1081"/>
      <c r="R92" s="1557"/>
      <c r="S92" s="1081"/>
      <c r="T92" s="1081"/>
      <c r="U92" s="482"/>
      <c r="V92" s="1081"/>
      <c r="W92" s="1081"/>
      <c r="X92" s="1081"/>
      <c r="Y92" s="1081"/>
      <c r="Z92" s="1081"/>
      <c r="AA92" s="1553"/>
      <c r="AB92" s="504"/>
      <c r="AC92" s="504"/>
      <c r="AD92" s="504"/>
      <c r="AE92" s="504"/>
      <c r="AF92" s="1562">
        <v>11</v>
      </c>
    </row>
    <row r="93" spans="1:32" s="4299" customFormat="1" ht="11.45" customHeight="1">
      <c r="A93" s="913"/>
      <c r="B93" s="1557"/>
      <c r="C93" s="1557"/>
      <c r="D93" s="289"/>
      <c r="K93" s="1081"/>
      <c r="L93" s="1557"/>
      <c r="M93" s="1557"/>
      <c r="N93" s="1081"/>
      <c r="O93" s="1081"/>
      <c r="P93" s="1081"/>
      <c r="Q93" s="1081"/>
      <c r="R93" s="1557"/>
      <c r="S93" s="1081"/>
      <c r="T93" s="1081"/>
      <c r="U93" s="482"/>
      <c r="V93" s="1081"/>
      <c r="W93" s="1081"/>
      <c r="X93" s="1081"/>
      <c r="Y93" s="1081"/>
      <c r="Z93" s="1081"/>
      <c r="AA93" s="1553"/>
      <c r="AB93" s="504"/>
      <c r="AC93" s="504"/>
      <c r="AD93" s="504"/>
      <c r="AE93" s="504"/>
      <c r="AF93" s="1562">
        <v>11</v>
      </c>
    </row>
    <row r="94" spans="1:32" s="4299" customFormat="1" ht="11.45" customHeight="1">
      <c r="A94" s="913"/>
      <c r="B94" s="1557"/>
      <c r="C94" s="1557"/>
      <c r="D94" s="289"/>
      <c r="K94" s="1081"/>
      <c r="L94" s="1557"/>
      <c r="M94" s="1557"/>
      <c r="N94" s="1081"/>
      <c r="O94" s="1081"/>
      <c r="P94" s="1081"/>
      <c r="Q94" s="1081"/>
      <c r="R94" s="1557"/>
      <c r="S94" s="1081"/>
      <c r="T94" s="1081"/>
      <c r="U94" s="482"/>
      <c r="V94" s="1081"/>
      <c r="W94" s="1081"/>
      <c r="X94" s="1081"/>
      <c r="Y94" s="1081"/>
      <c r="Z94" s="1081"/>
      <c r="AA94" s="1553"/>
      <c r="AB94" s="504"/>
      <c r="AC94" s="504"/>
      <c r="AD94" s="504"/>
      <c r="AE94" s="504"/>
      <c r="AF94" s="1562">
        <v>11</v>
      </c>
    </row>
    <row r="95" spans="1:32" s="4299" customFormat="1" ht="11.45" customHeight="1">
      <c r="A95" s="913"/>
      <c r="B95" s="1557"/>
      <c r="C95" s="1557"/>
      <c r="D95" s="289"/>
      <c r="K95" s="1081"/>
      <c r="L95" s="1557"/>
      <c r="M95" s="1557"/>
      <c r="N95" s="1081"/>
      <c r="O95" s="1081"/>
      <c r="P95" s="1081"/>
      <c r="Q95" s="1081"/>
      <c r="R95" s="1557"/>
      <c r="S95" s="1081"/>
      <c r="T95" s="1081"/>
      <c r="U95" s="482"/>
      <c r="V95" s="1081"/>
      <c r="W95" s="1081"/>
      <c r="X95" s="1081"/>
      <c r="Y95" s="1081"/>
      <c r="Z95" s="1081"/>
      <c r="AA95" s="1553"/>
      <c r="AB95" s="504"/>
      <c r="AC95" s="504"/>
      <c r="AD95" s="504"/>
      <c r="AE95" s="504"/>
      <c r="AF95" s="1562">
        <v>11</v>
      </c>
    </row>
    <row r="96" spans="1:32" s="4299" customFormat="1" ht="11.45" customHeight="1">
      <c r="A96" s="913"/>
      <c r="B96" s="1557"/>
      <c r="C96" s="1557"/>
      <c r="D96" s="289"/>
      <c r="K96" s="1081"/>
      <c r="L96" s="1557"/>
      <c r="M96" s="1557"/>
      <c r="N96" s="1081"/>
      <c r="O96" s="1081"/>
      <c r="P96" s="1081"/>
      <c r="Q96" s="1081"/>
      <c r="R96" s="1557"/>
      <c r="S96" s="1081"/>
      <c r="T96" s="1081"/>
      <c r="U96" s="482"/>
      <c r="V96" s="1081"/>
      <c r="W96" s="1081"/>
      <c r="X96" s="1081"/>
      <c r="Y96" s="1081"/>
      <c r="Z96" s="1081"/>
      <c r="AA96" s="1553"/>
      <c r="AB96" s="504"/>
      <c r="AC96" s="504"/>
      <c r="AD96" s="504"/>
      <c r="AE96" s="504"/>
      <c r="AF96" s="1562">
        <v>11</v>
      </c>
    </row>
    <row r="97" spans="1:32" s="4299" customFormat="1" ht="11.45" customHeight="1">
      <c r="A97" s="913"/>
      <c r="B97" s="1557"/>
      <c r="C97" s="1557"/>
      <c r="D97" s="289"/>
      <c r="K97" s="1081"/>
      <c r="L97" s="1557"/>
      <c r="M97" s="1557"/>
      <c r="N97" s="1081"/>
      <c r="O97" s="1081"/>
      <c r="P97" s="1081"/>
      <c r="Q97" s="1081"/>
      <c r="R97" s="1557"/>
      <c r="S97" s="1081"/>
      <c r="T97" s="1081"/>
      <c r="U97" s="482"/>
      <c r="V97" s="1081"/>
      <c r="W97" s="1081"/>
      <c r="X97" s="1081"/>
      <c r="Y97" s="1081"/>
      <c r="Z97" s="1081"/>
      <c r="AA97" s="1553"/>
      <c r="AB97" s="504"/>
      <c r="AC97" s="504"/>
      <c r="AD97" s="504"/>
      <c r="AE97" s="504"/>
      <c r="AF97" s="1562">
        <v>11</v>
      </c>
    </row>
    <row r="98" spans="1:32" s="4299" customFormat="1" ht="11.45" customHeight="1">
      <c r="A98" s="913"/>
      <c r="B98" s="1557"/>
      <c r="C98" s="1557"/>
      <c r="D98" s="289"/>
      <c r="K98" s="1081"/>
      <c r="L98" s="1557"/>
      <c r="M98" s="1557"/>
      <c r="N98" s="1081"/>
      <c r="O98" s="1081"/>
      <c r="P98" s="1081"/>
      <c r="Q98" s="1081"/>
      <c r="R98" s="1557"/>
      <c r="S98" s="1081"/>
      <c r="T98" s="1081"/>
      <c r="U98" s="482"/>
      <c r="V98" s="1081"/>
      <c r="W98" s="1081"/>
      <c r="X98" s="1081"/>
      <c r="Y98" s="1081"/>
      <c r="Z98" s="1081"/>
      <c r="AA98" s="1553"/>
      <c r="AB98" s="504"/>
      <c r="AC98" s="504"/>
      <c r="AD98" s="504"/>
      <c r="AE98" s="504"/>
      <c r="AF98" s="1562">
        <v>11</v>
      </c>
    </row>
    <row r="99" spans="1:32" s="4299" customFormat="1" ht="11.45" customHeight="1">
      <c r="A99" s="913"/>
      <c r="B99" s="1557"/>
      <c r="C99" s="1557"/>
      <c r="D99" s="289"/>
      <c r="K99" s="1081"/>
      <c r="L99" s="1557"/>
      <c r="M99" s="1557"/>
      <c r="N99" s="1081"/>
      <c r="O99" s="1081"/>
      <c r="P99" s="1081"/>
      <c r="Q99" s="1081"/>
      <c r="R99" s="1557"/>
      <c r="S99" s="1081"/>
      <c r="T99" s="1081"/>
      <c r="U99" s="482"/>
      <c r="V99" s="1081"/>
      <c r="W99" s="1081"/>
      <c r="X99" s="1081"/>
      <c r="Y99" s="1081"/>
      <c r="Z99" s="1081"/>
      <c r="AA99" s="1553"/>
      <c r="AB99" s="504"/>
      <c r="AC99" s="504"/>
      <c r="AD99" s="504"/>
      <c r="AE99" s="504"/>
      <c r="AF99" s="1562">
        <v>11</v>
      </c>
    </row>
    <row r="100" spans="1:32" s="4299" customFormat="1" ht="11.45" customHeight="1">
      <c r="A100" s="913"/>
      <c r="B100" s="1557"/>
      <c r="C100" s="1557"/>
      <c r="D100" s="289"/>
      <c r="K100" s="1081"/>
      <c r="L100" s="1557"/>
      <c r="M100" s="1557"/>
      <c r="N100" s="1081"/>
      <c r="O100" s="1081"/>
      <c r="P100" s="1081"/>
      <c r="Q100" s="1081"/>
      <c r="R100" s="1557"/>
      <c r="S100" s="1081"/>
      <c r="T100" s="1081"/>
      <c r="U100" s="482"/>
      <c r="V100" s="1081"/>
      <c r="W100" s="1081"/>
      <c r="X100" s="1081"/>
      <c r="Y100" s="1081"/>
      <c r="Z100" s="1081"/>
      <c r="AA100" s="1553"/>
      <c r="AB100" s="504"/>
      <c r="AC100" s="504"/>
      <c r="AD100" s="504"/>
      <c r="AE100" s="504"/>
      <c r="AF100" s="1562">
        <v>11</v>
      </c>
    </row>
    <row r="101" spans="1:32" s="4299" customFormat="1" ht="11.45" customHeight="1">
      <c r="A101" s="913"/>
      <c r="B101" s="1557"/>
      <c r="C101" s="1557"/>
      <c r="D101" s="289"/>
      <c r="K101" s="1081"/>
      <c r="L101" s="1557"/>
      <c r="M101" s="1557"/>
      <c r="N101" s="1081"/>
      <c r="O101" s="1081"/>
      <c r="P101" s="1081"/>
      <c r="Q101" s="1081"/>
      <c r="R101" s="1557"/>
      <c r="S101" s="1081"/>
      <c r="T101" s="1081"/>
      <c r="U101" s="482"/>
      <c r="V101" s="1081"/>
      <c r="W101" s="1081"/>
      <c r="X101" s="1081"/>
      <c r="Y101" s="1081"/>
      <c r="Z101" s="1081"/>
      <c r="AA101" s="1553"/>
      <c r="AB101" s="504"/>
      <c r="AC101" s="504"/>
      <c r="AD101" s="504"/>
      <c r="AE101" s="504"/>
      <c r="AF101" s="1562">
        <v>11</v>
      </c>
    </row>
    <row r="102" spans="1:32" s="4299" customFormat="1" ht="11.45" customHeight="1">
      <c r="A102" s="913"/>
      <c r="B102" s="1557"/>
      <c r="C102" s="1557"/>
      <c r="D102" s="289"/>
      <c r="K102" s="1081"/>
      <c r="L102" s="1557"/>
      <c r="M102" s="1557"/>
      <c r="N102" s="1081"/>
      <c r="O102" s="1081"/>
      <c r="P102" s="1081"/>
      <c r="Q102" s="1081"/>
      <c r="R102" s="1557"/>
      <c r="S102" s="1081"/>
      <c r="T102" s="1081"/>
      <c r="U102" s="482"/>
      <c r="V102" s="1081"/>
      <c r="W102" s="1081"/>
      <c r="X102" s="1081"/>
      <c r="Y102" s="1081"/>
      <c r="Z102" s="1081"/>
      <c r="AA102" s="1553"/>
      <c r="AB102" s="504"/>
      <c r="AC102" s="504"/>
      <c r="AD102" s="504"/>
      <c r="AE102" s="504"/>
      <c r="AF102" s="1562">
        <v>11</v>
      </c>
    </row>
    <row r="103" spans="1:32" s="4299" customFormat="1" ht="11.45" customHeight="1">
      <c r="A103" s="913"/>
      <c r="B103" s="1557"/>
      <c r="C103" s="1557"/>
      <c r="D103" s="289"/>
      <c r="K103" s="1081"/>
      <c r="L103" s="1557"/>
      <c r="M103" s="1557"/>
      <c r="N103" s="1081"/>
      <c r="O103" s="1081"/>
      <c r="P103" s="1081"/>
      <c r="Q103" s="1081"/>
      <c r="R103" s="1557"/>
      <c r="S103" s="1081"/>
      <c r="T103" s="1081"/>
      <c r="U103" s="482"/>
      <c r="V103" s="1081"/>
      <c r="W103" s="1081"/>
      <c r="X103" s="1081"/>
      <c r="Y103" s="1081"/>
      <c r="Z103" s="1081"/>
      <c r="AA103" s="1553"/>
      <c r="AB103" s="504"/>
      <c r="AC103" s="504"/>
      <c r="AD103" s="504"/>
      <c r="AE103" s="504"/>
      <c r="AF103" s="1562">
        <v>11</v>
      </c>
    </row>
    <row r="104" spans="1:32" s="4299" customFormat="1" ht="11.45" customHeight="1">
      <c r="A104" s="913"/>
      <c r="B104" s="1557"/>
      <c r="C104" s="1557"/>
      <c r="D104" s="289"/>
      <c r="K104" s="1081"/>
      <c r="L104" s="1557"/>
      <c r="M104" s="1557"/>
      <c r="N104" s="1081"/>
      <c r="O104" s="1081"/>
      <c r="P104" s="1081"/>
      <c r="Q104" s="1081"/>
      <c r="R104" s="1557"/>
      <c r="S104" s="1081"/>
      <c r="T104" s="1081"/>
      <c r="U104" s="482"/>
      <c r="V104" s="1081"/>
      <c r="W104" s="1081"/>
      <c r="X104" s="1081"/>
      <c r="Y104" s="1081"/>
      <c r="Z104" s="1081"/>
      <c r="AA104" s="1553"/>
      <c r="AB104" s="504"/>
      <c r="AC104" s="504"/>
      <c r="AD104" s="504"/>
      <c r="AE104" s="504"/>
      <c r="AF104" s="1562">
        <v>11</v>
      </c>
    </row>
    <row r="105" spans="1:32" s="4299" customFormat="1" ht="11.45" customHeight="1">
      <c r="A105" s="913"/>
      <c r="B105" s="1557"/>
      <c r="C105" s="1557"/>
      <c r="D105" s="289"/>
      <c r="K105" s="1081"/>
      <c r="L105" s="1557"/>
      <c r="M105" s="1557"/>
      <c r="N105" s="1081"/>
      <c r="O105" s="1081"/>
      <c r="P105" s="1081"/>
      <c r="Q105" s="1081"/>
      <c r="R105" s="1557"/>
      <c r="S105" s="1081"/>
      <c r="T105" s="1081"/>
      <c r="U105" s="482"/>
      <c r="V105" s="1081"/>
      <c r="W105" s="1081"/>
      <c r="X105" s="1081"/>
      <c r="Y105" s="1081"/>
      <c r="Z105" s="1081"/>
      <c r="AA105" s="1553"/>
      <c r="AB105" s="504"/>
      <c r="AC105" s="504"/>
      <c r="AD105" s="504"/>
      <c r="AE105" s="504"/>
      <c r="AF105" s="1562">
        <v>11</v>
      </c>
    </row>
    <row r="106" spans="1:32" s="4299" customFormat="1" ht="11.45" customHeight="1">
      <c r="A106" s="913"/>
      <c r="B106" s="1557"/>
      <c r="C106" s="1557"/>
      <c r="D106" s="289"/>
      <c r="K106" s="1081"/>
      <c r="L106" s="1557"/>
      <c r="M106" s="1557"/>
      <c r="N106" s="1081"/>
      <c r="O106" s="1081"/>
      <c r="P106" s="1081"/>
      <c r="Q106" s="1081"/>
      <c r="R106" s="1557"/>
      <c r="S106" s="1081"/>
      <c r="T106" s="1081"/>
      <c r="U106" s="482"/>
      <c r="V106" s="1081"/>
      <c r="W106" s="1081"/>
      <c r="X106" s="1081"/>
      <c r="Y106" s="1081"/>
      <c r="Z106" s="1081"/>
      <c r="AA106" s="1553"/>
      <c r="AB106" s="504"/>
      <c r="AC106" s="504"/>
      <c r="AD106" s="504"/>
      <c r="AE106" s="504"/>
      <c r="AF106" s="1562">
        <v>11</v>
      </c>
    </row>
    <row r="107" spans="1:32" s="4299" customFormat="1" ht="11.45" customHeight="1">
      <c r="A107" s="913"/>
      <c r="B107" s="1557"/>
      <c r="C107" s="1557"/>
      <c r="D107" s="289"/>
      <c r="K107" s="1081"/>
      <c r="L107" s="1557"/>
      <c r="M107" s="1557"/>
      <c r="N107" s="1081"/>
      <c r="O107" s="1081"/>
      <c r="P107" s="1081"/>
      <c r="Q107" s="1081"/>
      <c r="R107" s="1557"/>
      <c r="S107" s="1081"/>
      <c r="T107" s="1081"/>
      <c r="U107" s="482"/>
      <c r="V107" s="1081"/>
      <c r="W107" s="1081"/>
      <c r="X107" s="1081"/>
      <c r="Y107" s="1081"/>
      <c r="Z107" s="1081"/>
      <c r="AA107" s="1553"/>
      <c r="AB107" s="504"/>
      <c r="AC107" s="504"/>
      <c r="AD107" s="504"/>
      <c r="AE107" s="504"/>
      <c r="AF107" s="1562">
        <v>11</v>
      </c>
    </row>
    <row r="108" spans="1:32" s="4299" customFormat="1" ht="11.45" customHeight="1">
      <c r="A108" s="913"/>
      <c r="B108" s="1557"/>
      <c r="C108" s="1557"/>
      <c r="D108" s="289"/>
      <c r="K108" s="1081"/>
      <c r="L108" s="1557"/>
      <c r="M108" s="1557"/>
      <c r="N108" s="1081"/>
      <c r="O108" s="1081"/>
      <c r="P108" s="1081"/>
      <c r="Q108" s="1081"/>
      <c r="R108" s="1557"/>
      <c r="S108" s="1081"/>
      <c r="T108" s="1081"/>
      <c r="U108" s="482"/>
      <c r="V108" s="1081"/>
      <c r="W108" s="1081"/>
      <c r="X108" s="1081"/>
      <c r="Y108" s="1081"/>
      <c r="Z108" s="1081"/>
      <c r="AA108" s="1553"/>
      <c r="AB108" s="504"/>
      <c r="AC108" s="504"/>
      <c r="AD108" s="504"/>
      <c r="AE108" s="504"/>
      <c r="AF108" s="1562">
        <v>11</v>
      </c>
    </row>
    <row r="109" spans="1:32" s="4299" customFormat="1" ht="11.45" customHeight="1">
      <c r="A109" s="913"/>
      <c r="B109" s="1557"/>
      <c r="C109" s="1557"/>
      <c r="D109" s="289"/>
      <c r="K109" s="1081"/>
      <c r="L109" s="1557"/>
      <c r="M109" s="1557"/>
      <c r="N109" s="1081"/>
      <c r="O109" s="1081"/>
      <c r="P109" s="1081"/>
      <c r="Q109" s="1081"/>
      <c r="R109" s="1557"/>
      <c r="S109" s="1081"/>
      <c r="T109" s="1081"/>
      <c r="U109" s="482"/>
      <c r="V109" s="1081"/>
      <c r="W109" s="1081"/>
      <c r="X109" s="1081"/>
      <c r="Y109" s="1081"/>
      <c r="Z109" s="1081"/>
      <c r="AA109" s="1553"/>
      <c r="AB109" s="504"/>
      <c r="AC109" s="504"/>
      <c r="AD109" s="504"/>
      <c r="AE109" s="504"/>
      <c r="AF109" s="1562">
        <v>11</v>
      </c>
    </row>
    <row r="110" spans="1:32" s="4299" customFormat="1" ht="11.45" customHeight="1">
      <c r="A110" s="913"/>
      <c r="B110" s="1557"/>
      <c r="C110" s="1557"/>
      <c r="D110" s="289"/>
      <c r="K110" s="1081"/>
      <c r="L110" s="1557"/>
      <c r="M110" s="1557"/>
      <c r="N110" s="1081"/>
      <c r="O110" s="1081"/>
      <c r="P110" s="1081"/>
      <c r="Q110" s="1081"/>
      <c r="R110" s="1557"/>
      <c r="S110" s="1081"/>
      <c r="T110" s="1081"/>
      <c r="U110" s="482"/>
      <c r="V110" s="1081"/>
      <c r="W110" s="1081"/>
      <c r="X110" s="1081"/>
      <c r="Y110" s="1081"/>
      <c r="Z110" s="1081"/>
      <c r="AA110" s="1553"/>
      <c r="AB110" s="504"/>
      <c r="AC110" s="504"/>
      <c r="AD110" s="504"/>
      <c r="AE110" s="504"/>
      <c r="AF110" s="1562">
        <v>11</v>
      </c>
    </row>
    <row r="111" spans="1:32" s="4299" customFormat="1" ht="11.45" customHeight="1">
      <c r="A111" s="913"/>
      <c r="B111" s="1557"/>
      <c r="C111" s="1557"/>
      <c r="D111" s="289"/>
      <c r="K111" s="1081"/>
      <c r="L111" s="1557"/>
      <c r="M111" s="1557"/>
      <c r="N111" s="1081"/>
      <c r="O111" s="1081"/>
      <c r="P111" s="1081"/>
      <c r="Q111" s="1081"/>
      <c r="R111" s="1557"/>
      <c r="S111" s="1081"/>
      <c r="T111" s="1081"/>
      <c r="U111" s="482"/>
      <c r="V111" s="1081"/>
      <c r="W111" s="1081"/>
      <c r="X111" s="1081"/>
      <c r="Y111" s="1081"/>
      <c r="Z111" s="1081"/>
      <c r="AA111" s="1553"/>
      <c r="AB111" s="504"/>
      <c r="AC111" s="504"/>
      <c r="AD111" s="504"/>
      <c r="AE111" s="504"/>
      <c r="AF111" s="1562">
        <v>11</v>
      </c>
    </row>
    <row r="112" spans="1:32" s="4299" customFormat="1" ht="11.45" customHeight="1">
      <c r="A112" s="913"/>
      <c r="B112" s="1557"/>
      <c r="C112" s="1557"/>
      <c r="D112" s="289"/>
      <c r="K112" s="1081"/>
      <c r="L112" s="1557"/>
      <c r="M112" s="1557"/>
      <c r="N112" s="1081"/>
      <c r="O112" s="1081"/>
      <c r="P112" s="1081"/>
      <c r="Q112" s="1081"/>
      <c r="R112" s="1557"/>
      <c r="S112" s="1081"/>
      <c r="T112" s="1081"/>
      <c r="U112" s="482"/>
      <c r="V112" s="1081"/>
      <c r="W112" s="1081"/>
      <c r="X112" s="1081"/>
      <c r="Y112" s="1081"/>
      <c r="Z112" s="1081"/>
      <c r="AA112" s="1553"/>
      <c r="AB112" s="504"/>
      <c r="AC112" s="504"/>
      <c r="AD112" s="504"/>
      <c r="AE112" s="504"/>
      <c r="AF112" s="1562">
        <v>11</v>
      </c>
    </row>
    <row r="113" spans="1:32" s="4299" customFormat="1" ht="11.45" customHeight="1">
      <c r="A113" s="913"/>
      <c r="B113" s="1557"/>
      <c r="C113" s="1557"/>
      <c r="D113" s="289"/>
      <c r="K113" s="1081"/>
      <c r="L113" s="1557"/>
      <c r="M113" s="1557"/>
      <c r="N113" s="1081"/>
      <c r="O113" s="1081"/>
      <c r="P113" s="1081"/>
      <c r="Q113" s="1081"/>
      <c r="R113" s="1557"/>
      <c r="S113" s="1081"/>
      <c r="T113" s="1081"/>
      <c r="U113" s="482"/>
      <c r="V113" s="1081"/>
      <c r="W113" s="1081"/>
      <c r="X113" s="1081"/>
      <c r="Y113" s="1081"/>
      <c r="Z113" s="1081"/>
      <c r="AA113" s="1553"/>
      <c r="AB113" s="504"/>
      <c r="AC113" s="504"/>
      <c r="AD113" s="504"/>
      <c r="AE113" s="504"/>
      <c r="AF113" s="1562">
        <v>11</v>
      </c>
    </row>
    <row r="114" spans="1:32" s="4299" customFormat="1" ht="11.45" customHeight="1">
      <c r="A114" s="913"/>
      <c r="B114" s="1557"/>
      <c r="C114" s="1557"/>
      <c r="D114" s="289"/>
      <c r="K114" s="1081"/>
      <c r="L114" s="1557"/>
      <c r="M114" s="1557"/>
      <c r="N114" s="1081"/>
      <c r="O114" s="1081"/>
      <c r="P114" s="1081"/>
      <c r="Q114" s="1081"/>
      <c r="R114" s="1557"/>
      <c r="S114" s="1081"/>
      <c r="T114" s="1081"/>
      <c r="U114" s="482"/>
      <c r="V114" s="1081"/>
      <c r="W114" s="1081"/>
      <c r="X114" s="1081"/>
      <c r="Y114" s="1081"/>
      <c r="Z114" s="1081"/>
      <c r="AA114" s="1553"/>
      <c r="AB114" s="504"/>
      <c r="AC114" s="504"/>
      <c r="AD114" s="504"/>
      <c r="AE114" s="504"/>
      <c r="AF114" s="1562">
        <v>11</v>
      </c>
    </row>
    <row r="115" spans="1:32" s="4299" customFormat="1" ht="11.45" customHeight="1">
      <c r="A115" s="913"/>
      <c r="B115" s="1557"/>
      <c r="C115" s="1557"/>
      <c r="D115" s="289"/>
      <c r="K115" s="1081"/>
      <c r="L115" s="1557"/>
      <c r="M115" s="1557"/>
      <c r="N115" s="1081"/>
      <c r="O115" s="1081"/>
      <c r="P115" s="1081"/>
      <c r="Q115" s="1081"/>
      <c r="R115" s="1557"/>
      <c r="S115" s="1081"/>
      <c r="T115" s="1081"/>
      <c r="U115" s="482"/>
      <c r="V115" s="1081"/>
      <c r="W115" s="1081"/>
      <c r="X115" s="1081"/>
      <c r="Y115" s="1081"/>
      <c r="Z115" s="1081"/>
      <c r="AA115" s="1553"/>
      <c r="AB115" s="504"/>
      <c r="AC115" s="504"/>
      <c r="AD115" s="504"/>
      <c r="AE115" s="504"/>
      <c r="AF115" s="1562">
        <v>11</v>
      </c>
    </row>
    <row r="116" spans="1:32" s="4299" customFormat="1" ht="11.45" customHeight="1">
      <c r="A116" s="913"/>
      <c r="B116" s="1557"/>
      <c r="C116" s="1557"/>
      <c r="D116" s="289"/>
      <c r="K116" s="1081"/>
      <c r="L116" s="1557"/>
      <c r="M116" s="1557"/>
      <c r="N116" s="1081"/>
      <c r="O116" s="1081"/>
      <c r="P116" s="1081"/>
      <c r="Q116" s="1081"/>
      <c r="R116" s="1557"/>
      <c r="S116" s="1081"/>
      <c r="T116" s="1081"/>
      <c r="U116" s="482"/>
      <c r="V116" s="1081"/>
      <c r="W116" s="1081"/>
      <c r="X116" s="1081"/>
      <c r="Y116" s="1081"/>
      <c r="Z116" s="1081"/>
      <c r="AA116" s="1553"/>
      <c r="AB116" s="504"/>
      <c r="AC116" s="504"/>
      <c r="AD116" s="504"/>
      <c r="AE116" s="504"/>
      <c r="AF116" s="1562">
        <v>11</v>
      </c>
    </row>
    <row r="117" spans="1:32" s="4299" customFormat="1" ht="11.45" customHeight="1">
      <c r="A117" s="913"/>
      <c r="B117" s="1557"/>
      <c r="C117" s="1557"/>
      <c r="D117" s="289"/>
      <c r="K117" s="1081"/>
      <c r="L117" s="1557"/>
      <c r="M117" s="1557"/>
      <c r="N117" s="1081"/>
      <c r="O117" s="1081"/>
      <c r="P117" s="1081"/>
      <c r="Q117" s="1081"/>
      <c r="R117" s="1557"/>
      <c r="S117" s="1081"/>
      <c r="T117" s="1081"/>
      <c r="U117" s="482"/>
      <c r="V117" s="1081"/>
      <c r="W117" s="1081"/>
      <c r="X117" s="1081"/>
      <c r="Y117" s="1081"/>
      <c r="Z117" s="1081"/>
      <c r="AA117" s="1553"/>
      <c r="AB117" s="504"/>
      <c r="AC117" s="504"/>
      <c r="AD117" s="504"/>
      <c r="AE117" s="504"/>
      <c r="AF117" s="1562">
        <v>11</v>
      </c>
    </row>
    <row r="118" spans="1:32" s="4299" customFormat="1" ht="11.45" customHeight="1">
      <c r="A118" s="913"/>
      <c r="B118" s="1557"/>
      <c r="C118" s="1557"/>
      <c r="D118" s="289"/>
      <c r="K118" s="1081"/>
      <c r="L118" s="1557"/>
      <c r="M118" s="1557"/>
      <c r="N118" s="1081"/>
      <c r="O118" s="1081"/>
      <c r="P118" s="1081"/>
      <c r="Q118" s="1081"/>
      <c r="R118" s="1557"/>
      <c r="S118" s="1081"/>
      <c r="T118" s="1081"/>
      <c r="U118" s="482"/>
      <c r="V118" s="1081"/>
      <c r="W118" s="1081"/>
      <c r="X118" s="1081"/>
      <c r="Y118" s="1081"/>
      <c r="Z118" s="1081"/>
      <c r="AA118" s="1553"/>
      <c r="AB118" s="504"/>
      <c r="AC118" s="504"/>
      <c r="AD118" s="504"/>
      <c r="AE118" s="504"/>
      <c r="AF118" s="1562">
        <v>11</v>
      </c>
    </row>
    <row r="119" spans="1:32" s="4299" customFormat="1" ht="11.45" customHeight="1">
      <c r="A119" s="913"/>
      <c r="B119" s="1557"/>
      <c r="C119" s="1557"/>
      <c r="D119" s="289"/>
      <c r="K119" s="1081"/>
      <c r="L119" s="1557"/>
      <c r="M119" s="1557"/>
      <c r="N119" s="1081"/>
      <c r="O119" s="1081"/>
      <c r="P119" s="1081"/>
      <c r="Q119" s="1081"/>
      <c r="R119" s="1557"/>
      <c r="S119" s="1081"/>
      <c r="T119" s="1081"/>
      <c r="U119" s="482"/>
      <c r="V119" s="1081"/>
      <c r="W119" s="1081"/>
      <c r="X119" s="1081"/>
      <c r="Y119" s="1081"/>
      <c r="Z119" s="1081"/>
      <c r="AA119" s="1553"/>
      <c r="AB119" s="504"/>
      <c r="AC119" s="504"/>
      <c r="AD119" s="504"/>
      <c r="AE119" s="504"/>
      <c r="AF119" s="1562">
        <v>11</v>
      </c>
    </row>
    <row r="120" spans="1:32" s="4299" customFormat="1" ht="11.45" customHeight="1">
      <c r="A120" s="913"/>
      <c r="B120" s="1557"/>
      <c r="C120" s="1557"/>
      <c r="D120" s="289"/>
      <c r="K120" s="1081"/>
      <c r="L120" s="1557"/>
      <c r="M120" s="1557"/>
      <c r="N120" s="1081"/>
      <c r="O120" s="1081"/>
      <c r="P120" s="1081"/>
      <c r="Q120" s="1081"/>
      <c r="R120" s="1557"/>
      <c r="S120" s="1081"/>
      <c r="T120" s="1081"/>
      <c r="U120" s="482"/>
      <c r="V120" s="1081"/>
      <c r="W120" s="1081"/>
      <c r="X120" s="1081"/>
      <c r="Y120" s="1081"/>
      <c r="Z120" s="1081"/>
      <c r="AA120" s="1553"/>
      <c r="AB120" s="504"/>
      <c r="AC120" s="504"/>
      <c r="AD120" s="504"/>
      <c r="AE120" s="504"/>
      <c r="AF120" s="1562">
        <v>11</v>
      </c>
    </row>
    <row r="121" spans="1:32" s="4299" customFormat="1" ht="11.45" customHeight="1">
      <c r="A121" s="913"/>
      <c r="B121" s="1557"/>
      <c r="C121" s="1557"/>
      <c r="D121" s="289"/>
      <c r="K121" s="1081"/>
      <c r="L121" s="1557"/>
      <c r="M121" s="1557"/>
      <c r="N121" s="1081"/>
      <c r="O121" s="1081"/>
      <c r="P121" s="1081"/>
      <c r="Q121" s="1081"/>
      <c r="R121" s="1557"/>
      <c r="S121" s="1081"/>
      <c r="T121" s="1081"/>
      <c r="U121" s="482"/>
      <c r="V121" s="1081"/>
      <c r="W121" s="1081"/>
      <c r="X121" s="1081"/>
      <c r="Y121" s="1081"/>
      <c r="Z121" s="1081"/>
      <c r="AA121" s="1553"/>
      <c r="AB121" s="504"/>
      <c r="AC121" s="504"/>
      <c r="AD121" s="504"/>
      <c r="AE121" s="504"/>
      <c r="AF121" s="1562">
        <v>11</v>
      </c>
    </row>
    <row r="122" spans="1:32" s="4299" customFormat="1" ht="11.45" customHeight="1">
      <c r="A122" s="913"/>
      <c r="B122" s="1557"/>
      <c r="C122" s="1557"/>
      <c r="D122" s="289"/>
      <c r="K122" s="1081"/>
      <c r="L122" s="1557"/>
      <c r="M122" s="1557"/>
      <c r="N122" s="1081"/>
      <c r="O122" s="1081"/>
      <c r="P122" s="1081"/>
      <c r="Q122" s="1081"/>
      <c r="R122" s="1557"/>
      <c r="S122" s="1081"/>
      <c r="T122" s="1081"/>
      <c r="U122" s="482"/>
      <c r="V122" s="1081"/>
      <c r="W122" s="1081"/>
      <c r="X122" s="1081"/>
      <c r="Y122" s="1081"/>
      <c r="Z122" s="1081"/>
      <c r="AA122" s="1553"/>
      <c r="AB122" s="504"/>
      <c r="AC122" s="504"/>
      <c r="AD122" s="504"/>
      <c r="AE122" s="504"/>
      <c r="AF122" s="1562">
        <v>11</v>
      </c>
    </row>
    <row r="123" spans="1:32" s="4299" customFormat="1" ht="11.45" customHeight="1">
      <c r="A123" s="913"/>
      <c r="B123" s="1557"/>
      <c r="C123" s="1557"/>
      <c r="D123" s="289"/>
      <c r="K123" s="1081"/>
      <c r="L123" s="1557"/>
      <c r="M123" s="1557"/>
      <c r="N123" s="1081"/>
      <c r="O123" s="1081"/>
      <c r="P123" s="1081"/>
      <c r="Q123" s="1081"/>
      <c r="R123" s="1557"/>
      <c r="S123" s="1081"/>
      <c r="T123" s="1081"/>
      <c r="U123" s="482"/>
      <c r="V123" s="1081"/>
      <c r="W123" s="1081"/>
      <c r="X123" s="1081"/>
      <c r="Y123" s="1081"/>
      <c r="Z123" s="1081"/>
      <c r="AA123" s="1553"/>
      <c r="AB123" s="504"/>
      <c r="AC123" s="504"/>
      <c r="AD123" s="504"/>
      <c r="AE123" s="504"/>
      <c r="AF123" s="1562">
        <v>11</v>
      </c>
    </row>
    <row r="124" spans="1:32" s="4299" customFormat="1" ht="11.45" customHeight="1">
      <c r="A124" s="913"/>
      <c r="B124" s="1557"/>
      <c r="C124" s="1557"/>
      <c r="D124" s="289"/>
      <c r="K124" s="1081"/>
      <c r="L124" s="1557"/>
      <c r="M124" s="1557"/>
      <c r="N124" s="1081"/>
      <c r="O124" s="1081"/>
      <c r="P124" s="1081"/>
      <c r="Q124" s="1081"/>
      <c r="R124" s="1557"/>
      <c r="S124" s="1081"/>
      <c r="T124" s="1081"/>
      <c r="U124" s="482"/>
      <c r="V124" s="1081"/>
      <c r="W124" s="1081"/>
      <c r="X124" s="1081"/>
      <c r="Y124" s="1081"/>
      <c r="Z124" s="1081"/>
      <c r="AA124" s="1553"/>
      <c r="AB124" s="504"/>
      <c r="AC124" s="504"/>
      <c r="AD124" s="504"/>
      <c r="AE124" s="504"/>
      <c r="AF124" s="1562">
        <v>11</v>
      </c>
    </row>
    <row r="125" spans="1:32" s="4299" customFormat="1" ht="11.45" customHeight="1">
      <c r="A125" s="913"/>
      <c r="B125" s="1557"/>
      <c r="C125" s="1557"/>
      <c r="D125" s="289"/>
      <c r="K125" s="1081"/>
      <c r="L125" s="1557"/>
      <c r="M125" s="1557"/>
      <c r="N125" s="1081"/>
      <c r="O125" s="1081"/>
      <c r="P125" s="1081"/>
      <c r="Q125" s="1081"/>
      <c r="R125" s="1557"/>
      <c r="S125" s="1081"/>
      <c r="T125" s="1081"/>
      <c r="U125" s="482"/>
      <c r="V125" s="1081"/>
      <c r="W125" s="1081"/>
      <c r="X125" s="1081"/>
      <c r="Y125" s="1081"/>
      <c r="Z125" s="1081"/>
      <c r="AA125" s="1553"/>
      <c r="AB125" s="504"/>
      <c r="AC125" s="504"/>
      <c r="AD125" s="504"/>
      <c r="AE125" s="504"/>
      <c r="AF125" s="1562">
        <v>11</v>
      </c>
    </row>
    <row r="126" spans="1:32" s="4299" customFormat="1" ht="11.45" customHeight="1">
      <c r="A126" s="913"/>
      <c r="B126" s="1557"/>
      <c r="C126" s="1557"/>
      <c r="D126" s="289"/>
      <c r="K126" s="1081"/>
      <c r="L126" s="1557"/>
      <c r="M126" s="1557"/>
      <c r="N126" s="1081"/>
      <c r="O126" s="1081"/>
      <c r="P126" s="1081"/>
      <c r="Q126" s="1081"/>
      <c r="R126" s="1557"/>
      <c r="S126" s="1081"/>
      <c r="T126" s="1081"/>
      <c r="U126" s="482"/>
      <c r="V126" s="1081"/>
      <c r="W126" s="1081"/>
      <c r="X126" s="1081"/>
      <c r="Y126" s="1081"/>
      <c r="Z126" s="1081"/>
      <c r="AA126" s="1553"/>
      <c r="AB126" s="504"/>
      <c r="AC126" s="504"/>
      <c r="AD126" s="504"/>
      <c r="AE126" s="504"/>
      <c r="AF126" s="1562">
        <v>11</v>
      </c>
    </row>
    <row r="127" spans="1:32" s="4299" customFormat="1" ht="11.45" customHeight="1">
      <c r="A127" s="913"/>
      <c r="B127" s="1557"/>
      <c r="C127" s="1557"/>
      <c r="D127" s="289"/>
      <c r="K127" s="1081"/>
      <c r="L127" s="1557"/>
      <c r="M127" s="1557"/>
      <c r="N127" s="1081"/>
      <c r="O127" s="1081"/>
      <c r="P127" s="1081"/>
      <c r="Q127" s="1081"/>
      <c r="R127" s="1557"/>
      <c r="S127" s="1081"/>
      <c r="T127" s="1081"/>
      <c r="U127" s="482"/>
      <c r="V127" s="1081"/>
      <c r="W127" s="1081"/>
      <c r="X127" s="1081"/>
      <c r="Y127" s="1081"/>
      <c r="Z127" s="1081"/>
      <c r="AA127" s="1553"/>
      <c r="AB127" s="504"/>
      <c r="AC127" s="504"/>
      <c r="AD127" s="504"/>
      <c r="AE127" s="504"/>
      <c r="AF127" s="1562">
        <v>11</v>
      </c>
    </row>
    <row r="128" spans="1:32" s="4299" customFormat="1" ht="11.45" customHeight="1">
      <c r="A128" s="913"/>
      <c r="B128" s="1557"/>
      <c r="C128" s="1557"/>
      <c r="D128" s="289"/>
      <c r="K128" s="1081"/>
      <c r="L128" s="1557"/>
      <c r="M128" s="1557"/>
      <c r="N128" s="1081"/>
      <c r="O128" s="1081"/>
      <c r="P128" s="1081"/>
      <c r="Q128" s="1081"/>
      <c r="R128" s="1557"/>
      <c r="S128" s="1081"/>
      <c r="T128" s="1081"/>
      <c r="U128" s="482"/>
      <c r="V128" s="1081"/>
      <c r="W128" s="1081"/>
      <c r="X128" s="1081"/>
      <c r="Y128" s="1081"/>
      <c r="Z128" s="1081"/>
      <c r="AA128" s="1553"/>
      <c r="AB128" s="504"/>
      <c r="AC128" s="504"/>
      <c r="AD128" s="504"/>
      <c r="AE128" s="504"/>
      <c r="AF128" s="1562">
        <v>11</v>
      </c>
    </row>
    <row r="129" spans="1:32" s="4299" customFormat="1" ht="11.45" customHeight="1">
      <c r="A129" s="913"/>
      <c r="B129" s="1557"/>
      <c r="C129" s="1557"/>
      <c r="D129" s="289"/>
      <c r="K129" s="1081"/>
      <c r="L129" s="1557"/>
      <c r="M129" s="1557"/>
      <c r="N129" s="1081"/>
      <c r="O129" s="1081"/>
      <c r="P129" s="1081"/>
      <c r="Q129" s="1081"/>
      <c r="R129" s="1557"/>
      <c r="S129" s="1081"/>
      <c r="T129" s="1081"/>
      <c r="U129" s="482"/>
      <c r="V129" s="1081"/>
      <c r="W129" s="1081"/>
      <c r="X129" s="1081"/>
      <c r="Y129" s="1081"/>
      <c r="Z129" s="1081"/>
      <c r="AA129" s="1553"/>
      <c r="AB129" s="504"/>
      <c r="AC129" s="504"/>
      <c r="AD129" s="504"/>
      <c r="AE129" s="504"/>
      <c r="AF129" s="1562">
        <v>11</v>
      </c>
    </row>
    <row r="130" spans="1:32" s="4299" customFormat="1" ht="11.45" customHeight="1">
      <c r="A130" s="913"/>
      <c r="B130" s="1557"/>
      <c r="C130" s="1557"/>
      <c r="D130" s="289"/>
      <c r="K130" s="1081"/>
      <c r="L130" s="1557"/>
      <c r="M130" s="1557"/>
      <c r="N130" s="1081"/>
      <c r="O130" s="1081"/>
      <c r="P130" s="1081"/>
      <c r="Q130" s="1081"/>
      <c r="R130" s="1557"/>
      <c r="S130" s="1081"/>
      <c r="T130" s="1081"/>
      <c r="U130" s="482"/>
      <c r="V130" s="1081"/>
      <c r="W130" s="1081"/>
      <c r="X130" s="1081"/>
      <c r="Y130" s="1081"/>
      <c r="Z130" s="1081"/>
      <c r="AA130" s="1553"/>
      <c r="AB130" s="504"/>
      <c r="AC130" s="504"/>
      <c r="AD130" s="504"/>
      <c r="AE130" s="504"/>
      <c r="AF130" s="1562">
        <v>11</v>
      </c>
    </row>
    <row r="131" spans="1:32" s="4299" customFormat="1" ht="11.45" customHeight="1">
      <c r="A131" s="913"/>
      <c r="B131" s="1557"/>
      <c r="C131" s="1557"/>
      <c r="D131" s="289"/>
      <c r="K131" s="1081"/>
      <c r="L131" s="1557"/>
      <c r="M131" s="1557"/>
      <c r="N131" s="1081"/>
      <c r="O131" s="1081"/>
      <c r="P131" s="1081"/>
      <c r="Q131" s="1081"/>
      <c r="R131" s="1557"/>
      <c r="S131" s="1081"/>
      <c r="T131" s="1081"/>
      <c r="U131" s="482"/>
      <c r="V131" s="1081"/>
      <c r="W131" s="1081"/>
      <c r="X131" s="1081"/>
      <c r="Y131" s="1081"/>
      <c r="Z131" s="1081"/>
      <c r="AA131" s="1553"/>
      <c r="AB131" s="504"/>
      <c r="AC131" s="504"/>
      <c r="AD131" s="504"/>
      <c r="AE131" s="504"/>
      <c r="AF131" s="1562">
        <v>11</v>
      </c>
    </row>
    <row r="132" spans="1:32" s="4299" customFormat="1" ht="11.45" customHeight="1">
      <c r="A132" s="913"/>
      <c r="B132" s="1557"/>
      <c r="C132" s="1557"/>
      <c r="D132" s="289"/>
      <c r="K132" s="1081"/>
      <c r="L132" s="1557"/>
      <c r="M132" s="1557"/>
      <c r="N132" s="1081"/>
      <c r="O132" s="1081"/>
      <c r="P132" s="1081"/>
      <c r="Q132" s="1081"/>
      <c r="R132" s="1557"/>
      <c r="S132" s="1081"/>
      <c r="T132" s="1081"/>
      <c r="U132" s="482"/>
      <c r="V132" s="1081"/>
      <c r="W132" s="1081"/>
      <c r="X132" s="1081"/>
      <c r="Y132" s="1081"/>
      <c r="Z132" s="1081"/>
      <c r="AA132" s="1553"/>
      <c r="AB132" s="504"/>
      <c r="AC132" s="504"/>
      <c r="AD132" s="504"/>
      <c r="AE132" s="504"/>
      <c r="AF132" s="1562">
        <v>11</v>
      </c>
    </row>
    <row r="133" spans="1:32" s="4299" customFormat="1" ht="11.45" customHeight="1">
      <c r="A133" s="913"/>
      <c r="B133" s="1557"/>
      <c r="C133" s="1557"/>
      <c r="D133" s="289"/>
      <c r="K133" s="1081"/>
      <c r="L133" s="1557"/>
      <c r="M133" s="1557"/>
      <c r="N133" s="1081"/>
      <c r="O133" s="1081"/>
      <c r="P133" s="1081"/>
      <c r="Q133" s="1081"/>
      <c r="R133" s="1557"/>
      <c r="S133" s="1081"/>
      <c r="T133" s="1081"/>
      <c r="U133" s="482"/>
      <c r="V133" s="1081"/>
      <c r="W133" s="1081"/>
      <c r="X133" s="1081"/>
      <c r="Y133" s="1081"/>
      <c r="Z133" s="1081"/>
      <c r="AA133" s="1553"/>
      <c r="AB133" s="504"/>
      <c r="AC133" s="504"/>
      <c r="AD133" s="504"/>
      <c r="AE133" s="504"/>
      <c r="AF133" s="1562">
        <v>11</v>
      </c>
    </row>
    <row r="134" spans="1:32" s="4299" customFormat="1" ht="11.45" customHeight="1">
      <c r="A134" s="913"/>
      <c r="B134" s="1557"/>
      <c r="C134" s="1557"/>
      <c r="D134" s="289"/>
      <c r="K134" s="1081"/>
      <c r="L134" s="1557"/>
      <c r="M134" s="1557"/>
      <c r="N134" s="1081"/>
      <c r="O134" s="1081"/>
      <c r="P134" s="1081"/>
      <c r="Q134" s="1081"/>
      <c r="R134" s="1557"/>
      <c r="S134" s="1081"/>
      <c r="T134" s="1081"/>
      <c r="U134" s="482"/>
      <c r="V134" s="1081"/>
      <c r="W134" s="1081"/>
      <c r="X134" s="1081"/>
      <c r="Y134" s="1081"/>
      <c r="Z134" s="1081"/>
      <c r="AA134" s="1553"/>
      <c r="AB134" s="504"/>
      <c r="AC134" s="504"/>
      <c r="AD134" s="504"/>
      <c r="AE134" s="504"/>
      <c r="AF134" s="1562">
        <v>11</v>
      </c>
    </row>
    <row r="135" spans="1:32" s="4299" customFormat="1" ht="11.45" customHeight="1">
      <c r="A135" s="913"/>
      <c r="B135" s="1557"/>
      <c r="C135" s="1557"/>
      <c r="D135" s="289"/>
      <c r="K135" s="1081"/>
      <c r="L135" s="1557"/>
      <c r="M135" s="1557"/>
      <c r="N135" s="1081"/>
      <c r="O135" s="1081"/>
      <c r="P135" s="1081"/>
      <c r="Q135" s="1081"/>
      <c r="R135" s="1557"/>
      <c r="S135" s="1081"/>
      <c r="T135" s="1081"/>
      <c r="U135" s="482"/>
      <c r="V135" s="1081"/>
      <c r="W135" s="1081"/>
      <c r="X135" s="1081"/>
      <c r="Y135" s="1081"/>
      <c r="Z135" s="1081"/>
      <c r="AA135" s="1553"/>
      <c r="AB135" s="504"/>
      <c r="AC135" s="504"/>
      <c r="AD135" s="504"/>
      <c r="AE135" s="504"/>
      <c r="AF135" s="1562">
        <v>11</v>
      </c>
    </row>
    <row r="136" spans="1:32" s="4299" customFormat="1" ht="11.45" customHeight="1">
      <c r="A136" s="913"/>
      <c r="B136" s="1557"/>
      <c r="C136" s="1557"/>
      <c r="D136" s="289"/>
      <c r="K136" s="1081"/>
      <c r="L136" s="1557"/>
      <c r="M136" s="1557"/>
      <c r="N136" s="1081"/>
      <c r="O136" s="1081"/>
      <c r="P136" s="1081"/>
      <c r="Q136" s="1081"/>
      <c r="R136" s="1557"/>
      <c r="S136" s="1081"/>
      <c r="T136" s="1081"/>
      <c r="U136" s="482"/>
      <c r="V136" s="1081"/>
      <c r="W136" s="1081"/>
      <c r="X136" s="1081"/>
      <c r="Y136" s="1081"/>
      <c r="Z136" s="1081"/>
      <c r="AA136" s="1553"/>
      <c r="AB136" s="504"/>
      <c r="AC136" s="504"/>
      <c r="AD136" s="504"/>
      <c r="AE136" s="504"/>
      <c r="AF136" s="1562">
        <v>11</v>
      </c>
    </row>
    <row r="137" spans="1:32" s="4299" customFormat="1" ht="11.45" customHeight="1">
      <c r="A137" s="913"/>
      <c r="B137" s="1557"/>
      <c r="C137" s="1557"/>
      <c r="D137" s="289"/>
      <c r="K137" s="1081"/>
      <c r="L137" s="1557"/>
      <c r="M137" s="1557"/>
      <c r="N137" s="1081"/>
      <c r="O137" s="1081"/>
      <c r="P137" s="1081"/>
      <c r="Q137" s="1081"/>
      <c r="R137" s="1557"/>
      <c r="S137" s="1081"/>
      <c r="T137" s="1081"/>
      <c r="U137" s="482"/>
      <c r="V137" s="1081"/>
      <c r="W137" s="1081"/>
      <c r="X137" s="1081"/>
      <c r="Y137" s="1081"/>
      <c r="Z137" s="1081"/>
      <c r="AA137" s="1553"/>
      <c r="AB137" s="504"/>
      <c r="AC137" s="504"/>
      <c r="AD137" s="504"/>
      <c r="AE137" s="504"/>
      <c r="AF137" s="1562">
        <v>11</v>
      </c>
    </row>
    <row r="138" spans="1:32" s="4299" customFormat="1" ht="11.45" customHeight="1">
      <c r="A138" s="913"/>
      <c r="B138" s="1557"/>
      <c r="C138" s="1557"/>
      <c r="D138" s="289"/>
      <c r="K138" s="1081"/>
      <c r="L138" s="1557"/>
      <c r="M138" s="1557"/>
      <c r="N138" s="1081"/>
      <c r="O138" s="1081"/>
      <c r="P138" s="1081"/>
      <c r="Q138" s="1081"/>
      <c r="R138" s="1557"/>
      <c r="S138" s="1081"/>
      <c r="T138" s="1081"/>
      <c r="U138" s="482"/>
      <c r="V138" s="1081"/>
      <c r="W138" s="1081"/>
      <c r="X138" s="1081"/>
      <c r="Y138" s="1081"/>
      <c r="Z138" s="1081"/>
      <c r="AA138" s="1553"/>
      <c r="AB138" s="504"/>
      <c r="AC138" s="504"/>
      <c r="AD138" s="504"/>
      <c r="AE138" s="504"/>
      <c r="AF138" s="1562">
        <v>11</v>
      </c>
    </row>
    <row r="139" spans="1:32" s="4299" customFormat="1" ht="11.45" customHeight="1">
      <c r="A139" s="913"/>
      <c r="B139" s="1557"/>
      <c r="C139" s="1557"/>
      <c r="D139" s="289"/>
      <c r="K139" s="1081"/>
      <c r="L139" s="1557"/>
      <c r="M139" s="1557"/>
      <c r="N139" s="1081"/>
      <c r="O139" s="1081"/>
      <c r="P139" s="1081"/>
      <c r="Q139" s="1081"/>
      <c r="R139" s="1557"/>
      <c r="S139" s="1081"/>
      <c r="T139" s="1081"/>
      <c r="U139" s="482"/>
      <c r="V139" s="1081"/>
      <c r="W139" s="1081"/>
      <c r="X139" s="1081"/>
      <c r="Y139" s="1081"/>
      <c r="Z139" s="1081"/>
      <c r="AA139" s="1553"/>
      <c r="AB139" s="504"/>
      <c r="AC139" s="504"/>
      <c r="AD139" s="504"/>
      <c r="AE139" s="504"/>
      <c r="AF139" s="1562">
        <v>11</v>
      </c>
    </row>
    <row r="140" spans="1:32" s="4299" customFormat="1" ht="11.45" customHeight="1">
      <c r="A140" s="913"/>
      <c r="B140" s="1557"/>
      <c r="C140" s="1557"/>
      <c r="D140" s="289"/>
      <c r="K140" s="1081"/>
      <c r="L140" s="1557"/>
      <c r="M140" s="1557"/>
      <c r="N140" s="1081"/>
      <c r="O140" s="1081"/>
      <c r="P140" s="1081"/>
      <c r="Q140" s="1081"/>
      <c r="R140" s="1557"/>
      <c r="S140" s="1081"/>
      <c r="T140" s="1081"/>
      <c r="U140" s="482"/>
      <c r="V140" s="1081"/>
      <c r="W140" s="1081"/>
      <c r="X140" s="1081"/>
      <c r="Y140" s="1081"/>
      <c r="Z140" s="1081"/>
      <c r="AA140" s="1553"/>
      <c r="AB140" s="504"/>
      <c r="AC140" s="504"/>
      <c r="AD140" s="504"/>
      <c r="AE140" s="504"/>
      <c r="AF140" s="1562">
        <v>11</v>
      </c>
    </row>
    <row r="141" spans="1:32" s="4299" customFormat="1" ht="11.45" customHeight="1">
      <c r="A141" s="913"/>
      <c r="B141" s="1557"/>
      <c r="C141" s="1557"/>
      <c r="D141" s="289"/>
      <c r="K141" s="1081"/>
      <c r="L141" s="1557"/>
      <c r="M141" s="1557"/>
      <c r="N141" s="1081"/>
      <c r="O141" s="1081"/>
      <c r="P141" s="1081"/>
      <c r="Q141" s="1081"/>
      <c r="R141" s="1557"/>
      <c r="S141" s="1081"/>
      <c r="T141" s="1081"/>
      <c r="U141" s="482"/>
      <c r="V141" s="1081"/>
      <c r="W141" s="1081"/>
      <c r="X141" s="1081"/>
      <c r="Y141" s="1081"/>
      <c r="Z141" s="1081"/>
      <c r="AA141" s="1553"/>
      <c r="AB141" s="504"/>
      <c r="AC141" s="504"/>
      <c r="AD141" s="504"/>
      <c r="AE141" s="504"/>
      <c r="AF141" s="1562">
        <v>11</v>
      </c>
    </row>
    <row r="142" spans="1:32" s="4299" customFormat="1" ht="11.45" customHeight="1">
      <c r="A142" s="913"/>
      <c r="B142" s="1557"/>
      <c r="C142" s="1557"/>
      <c r="D142" s="289"/>
      <c r="K142" s="1081"/>
      <c r="L142" s="1557"/>
      <c r="M142" s="1557"/>
      <c r="N142" s="1081"/>
      <c r="O142" s="1081"/>
      <c r="P142" s="1081"/>
      <c r="Q142" s="1081"/>
      <c r="R142" s="1557"/>
      <c r="S142" s="1081"/>
      <c r="T142" s="1081"/>
      <c r="U142" s="482"/>
      <c r="V142" s="1081"/>
      <c r="W142" s="1081"/>
      <c r="X142" s="1081"/>
      <c r="Y142" s="1081"/>
      <c r="Z142" s="1081"/>
      <c r="AA142" s="1553"/>
      <c r="AB142" s="504"/>
      <c r="AC142" s="504"/>
      <c r="AD142" s="504"/>
      <c r="AE142" s="504"/>
      <c r="AF142" s="1562">
        <v>11</v>
      </c>
    </row>
    <row r="143" spans="1:32" s="4299" customFormat="1" ht="11.45" customHeight="1">
      <c r="A143" s="913"/>
      <c r="B143" s="1557"/>
      <c r="C143" s="1557"/>
      <c r="D143" s="289"/>
      <c r="K143" s="1081"/>
      <c r="L143" s="1557"/>
      <c r="M143" s="1557"/>
      <c r="N143" s="1081"/>
      <c r="O143" s="1081"/>
      <c r="P143" s="1081"/>
      <c r="Q143" s="1081"/>
      <c r="R143" s="1557"/>
      <c r="S143" s="1081"/>
      <c r="T143" s="1081"/>
      <c r="U143" s="482"/>
      <c r="V143" s="1081"/>
      <c r="W143" s="1081"/>
      <c r="X143" s="1081"/>
      <c r="Y143" s="1081"/>
      <c r="Z143" s="1081"/>
      <c r="AA143" s="1553"/>
      <c r="AB143" s="504"/>
      <c r="AC143" s="504"/>
      <c r="AD143" s="504"/>
      <c r="AE143" s="504"/>
      <c r="AF143" s="1562">
        <v>11</v>
      </c>
    </row>
    <row r="144" spans="1:32" s="4299" customFormat="1" ht="11.45" customHeight="1">
      <c r="A144" s="913"/>
      <c r="B144" s="1557"/>
      <c r="C144" s="1557"/>
      <c r="D144" s="289"/>
      <c r="K144" s="1081"/>
      <c r="L144" s="1557"/>
      <c r="M144" s="1557"/>
      <c r="N144" s="1081"/>
      <c r="O144" s="1081"/>
      <c r="P144" s="1081"/>
      <c r="Q144" s="1081"/>
      <c r="R144" s="1557"/>
      <c r="S144" s="1081"/>
      <c r="T144" s="1081"/>
      <c r="U144" s="482"/>
      <c r="V144" s="1081"/>
      <c r="W144" s="1081"/>
      <c r="X144" s="1081"/>
      <c r="Y144" s="1081"/>
      <c r="Z144" s="1081"/>
      <c r="AA144" s="1553"/>
      <c r="AB144" s="504"/>
      <c r="AC144" s="504"/>
      <c r="AD144" s="504"/>
      <c r="AE144" s="504"/>
      <c r="AF144" s="1562">
        <v>11</v>
      </c>
    </row>
    <row r="145" spans="1:32" s="4299" customFormat="1" ht="11.45" customHeight="1">
      <c r="A145" s="913"/>
      <c r="B145" s="1557"/>
      <c r="C145" s="1557"/>
      <c r="D145" s="289"/>
      <c r="K145" s="1081"/>
      <c r="L145" s="1557"/>
      <c r="M145" s="1557"/>
      <c r="N145" s="1081"/>
      <c r="O145" s="1081"/>
      <c r="P145" s="1081"/>
      <c r="Q145" s="1081"/>
      <c r="R145" s="1557"/>
      <c r="S145" s="1081"/>
      <c r="T145" s="1081"/>
      <c r="U145" s="482"/>
      <c r="V145" s="1081"/>
      <c r="W145" s="1081"/>
      <c r="X145" s="1081"/>
      <c r="Y145" s="1081"/>
      <c r="Z145" s="1081"/>
      <c r="AA145" s="1553"/>
      <c r="AB145" s="504"/>
      <c r="AC145" s="504"/>
      <c r="AD145" s="504"/>
      <c r="AE145" s="504"/>
      <c r="AF145" s="1562">
        <v>11</v>
      </c>
    </row>
    <row r="146" spans="1:32" s="4299" customFormat="1" ht="11.45" customHeight="1">
      <c r="A146" s="913"/>
      <c r="B146" s="1557"/>
      <c r="C146" s="1557"/>
      <c r="D146" s="289"/>
      <c r="K146" s="1081"/>
      <c r="L146" s="1557"/>
      <c r="M146" s="1557"/>
      <c r="N146" s="1081"/>
      <c r="O146" s="1081"/>
      <c r="P146" s="1081"/>
      <c r="Q146" s="1081"/>
      <c r="R146" s="1557"/>
      <c r="S146" s="1081"/>
      <c r="T146" s="1081"/>
      <c r="U146" s="482"/>
      <c r="V146" s="1081"/>
      <c r="W146" s="1081"/>
      <c r="X146" s="1081"/>
      <c r="Y146" s="1081"/>
      <c r="Z146" s="1081"/>
      <c r="AA146" s="1553"/>
      <c r="AB146" s="504"/>
      <c r="AC146" s="504"/>
      <c r="AD146" s="504"/>
      <c r="AE146" s="504"/>
      <c r="AF146" s="1562">
        <v>11</v>
      </c>
    </row>
    <row r="147" spans="1:32" s="4299" customFormat="1" ht="11.45" customHeight="1">
      <c r="A147" s="913"/>
      <c r="B147" s="1557"/>
      <c r="C147" s="1557"/>
      <c r="D147" s="289"/>
      <c r="K147" s="1081"/>
      <c r="L147" s="1557"/>
      <c r="M147" s="1557"/>
      <c r="N147" s="1081"/>
      <c r="O147" s="1081"/>
      <c r="P147" s="1081"/>
      <c r="Q147" s="1081"/>
      <c r="R147" s="1557"/>
      <c r="S147" s="1081"/>
      <c r="T147" s="1081"/>
      <c r="U147" s="482"/>
      <c r="V147" s="1081"/>
      <c r="W147" s="1081"/>
      <c r="X147" s="1081"/>
      <c r="Y147" s="1081"/>
      <c r="Z147" s="1081"/>
      <c r="AA147" s="1553"/>
      <c r="AB147" s="504"/>
      <c r="AC147" s="504"/>
      <c r="AD147" s="504"/>
      <c r="AE147" s="504"/>
      <c r="AF147" s="1562">
        <v>11</v>
      </c>
    </row>
    <row r="148" spans="1:32" s="4299" customFormat="1" ht="11.45" customHeight="1">
      <c r="A148" s="913"/>
      <c r="B148" s="1557"/>
      <c r="C148" s="1557"/>
      <c r="D148" s="289"/>
      <c r="K148" s="1081"/>
      <c r="L148" s="1557"/>
      <c r="M148" s="1557"/>
      <c r="N148" s="1081"/>
      <c r="O148" s="1081"/>
      <c r="P148" s="1081"/>
      <c r="Q148" s="1081"/>
      <c r="R148" s="1557"/>
      <c r="S148" s="1081"/>
      <c r="T148" s="1081"/>
      <c r="U148" s="482"/>
      <c r="V148" s="1081"/>
      <c r="W148" s="1081"/>
      <c r="X148" s="1081"/>
      <c r="Y148" s="1081"/>
      <c r="Z148" s="1081"/>
      <c r="AA148" s="1553"/>
      <c r="AB148" s="504"/>
      <c r="AC148" s="504"/>
      <c r="AD148" s="504"/>
      <c r="AE148" s="504"/>
      <c r="AF148" s="1562">
        <v>11</v>
      </c>
    </row>
    <row r="149" spans="1:32" s="4299" customFormat="1" ht="11.45" customHeight="1">
      <c r="A149" s="913"/>
      <c r="B149" s="1557"/>
      <c r="C149" s="1557"/>
      <c r="D149" s="289"/>
      <c r="K149" s="1081"/>
      <c r="L149" s="1557"/>
      <c r="M149" s="1557"/>
      <c r="N149" s="1081"/>
      <c r="O149" s="1081"/>
      <c r="P149" s="1081"/>
      <c r="Q149" s="1081"/>
      <c r="R149" s="1557"/>
      <c r="S149" s="1081"/>
      <c r="T149" s="1081"/>
      <c r="U149" s="482"/>
      <c r="V149" s="1081"/>
      <c r="W149" s="1081"/>
      <c r="X149" s="1081"/>
      <c r="Y149" s="1081"/>
      <c r="Z149" s="1081"/>
      <c r="AA149" s="1553"/>
      <c r="AB149" s="504"/>
      <c r="AC149" s="504"/>
      <c r="AD149" s="504"/>
      <c r="AE149" s="504"/>
      <c r="AF149" s="1562">
        <v>11</v>
      </c>
    </row>
    <row r="150" spans="1:32" s="4299" customFormat="1" ht="11.45" customHeight="1">
      <c r="A150" s="913"/>
      <c r="B150" s="1557"/>
      <c r="C150" s="1557"/>
      <c r="D150" s="289"/>
      <c r="K150" s="1081"/>
      <c r="L150" s="1557"/>
      <c r="M150" s="1557"/>
      <c r="N150" s="1081"/>
      <c r="O150" s="1081"/>
      <c r="P150" s="1081"/>
      <c r="Q150" s="1081"/>
      <c r="R150" s="1557"/>
      <c r="S150" s="1081"/>
      <c r="T150" s="1081"/>
      <c r="U150" s="482"/>
      <c r="V150" s="1081"/>
      <c r="W150" s="1081"/>
      <c r="X150" s="1081"/>
      <c r="Y150" s="1081"/>
      <c r="Z150" s="1081"/>
      <c r="AA150" s="1553"/>
      <c r="AB150" s="504"/>
      <c r="AC150" s="504"/>
      <c r="AD150" s="504"/>
      <c r="AE150" s="504"/>
      <c r="AF150" s="1562">
        <v>11</v>
      </c>
    </row>
    <row r="151" spans="1:32" s="4299" customFormat="1" ht="11.45" customHeight="1">
      <c r="A151" s="913"/>
      <c r="B151" s="1557"/>
      <c r="C151" s="1557"/>
      <c r="D151" s="289"/>
      <c r="K151" s="1081"/>
      <c r="L151" s="1557"/>
      <c r="M151" s="1557"/>
      <c r="N151" s="1081"/>
      <c r="O151" s="1081"/>
      <c r="P151" s="1081"/>
      <c r="Q151" s="1081"/>
      <c r="R151" s="1557"/>
      <c r="S151" s="1081"/>
      <c r="T151" s="1081"/>
      <c r="U151" s="482"/>
      <c r="V151" s="1081"/>
      <c r="W151" s="1081"/>
      <c r="X151" s="1081"/>
      <c r="Y151" s="1081"/>
      <c r="Z151" s="1081"/>
      <c r="AA151" s="1553"/>
      <c r="AB151" s="504"/>
      <c r="AC151" s="504"/>
      <c r="AD151" s="504"/>
      <c r="AE151" s="504"/>
      <c r="AF151" s="1562">
        <v>11</v>
      </c>
    </row>
    <row r="152" spans="1:32" s="4299" customFormat="1" ht="11.45" customHeight="1">
      <c r="A152" s="913"/>
      <c r="B152" s="1557"/>
      <c r="C152" s="1557"/>
      <c r="D152" s="289"/>
      <c r="K152" s="1081"/>
      <c r="L152" s="1557"/>
      <c r="M152" s="1557"/>
      <c r="N152" s="1081"/>
      <c r="O152" s="1081"/>
      <c r="P152" s="1081"/>
      <c r="Q152" s="1081"/>
      <c r="R152" s="1557"/>
      <c r="S152" s="1081"/>
      <c r="T152" s="1081"/>
      <c r="U152" s="482"/>
      <c r="V152" s="1081"/>
      <c r="W152" s="1081"/>
      <c r="X152" s="1081"/>
      <c r="Y152" s="1081"/>
      <c r="Z152" s="1081"/>
      <c r="AA152" s="1553"/>
      <c r="AB152" s="504"/>
      <c r="AC152" s="504"/>
      <c r="AD152" s="504"/>
      <c r="AE152" s="504"/>
      <c r="AF152" s="1562">
        <v>11</v>
      </c>
    </row>
    <row r="153" spans="1:32" s="4299" customFormat="1" ht="11.45" customHeight="1">
      <c r="A153" s="913"/>
      <c r="B153" s="1557"/>
      <c r="C153" s="1557"/>
      <c r="D153" s="289"/>
      <c r="K153" s="1081"/>
      <c r="L153" s="1557"/>
      <c r="M153" s="1557"/>
      <c r="N153" s="1081"/>
      <c r="O153" s="1081"/>
      <c r="P153" s="1081"/>
      <c r="Q153" s="1081"/>
      <c r="R153" s="1557"/>
      <c r="S153" s="1081"/>
      <c r="T153" s="1081"/>
      <c r="U153" s="482"/>
      <c r="V153" s="1081"/>
      <c r="W153" s="1081"/>
      <c r="X153" s="1081"/>
      <c r="Y153" s="1081"/>
      <c r="Z153" s="1081"/>
      <c r="AA153" s="1553"/>
      <c r="AB153" s="504"/>
      <c r="AC153" s="504"/>
      <c r="AD153" s="504"/>
      <c r="AE153" s="504"/>
      <c r="AF153" s="1562">
        <v>11</v>
      </c>
    </row>
    <row r="154" spans="1:32" s="4299" customFormat="1" ht="11.45" customHeight="1">
      <c r="A154" s="913"/>
      <c r="B154" s="1557"/>
      <c r="C154" s="1557"/>
      <c r="D154" s="289"/>
      <c r="K154" s="1081"/>
      <c r="L154" s="1557"/>
      <c r="M154" s="1557"/>
      <c r="N154" s="1081"/>
      <c r="O154" s="1081"/>
      <c r="P154" s="1081"/>
      <c r="Q154" s="1081"/>
      <c r="R154" s="1557"/>
      <c r="S154" s="1081"/>
      <c r="T154" s="1081"/>
      <c r="U154" s="482"/>
      <c r="V154" s="1081"/>
      <c r="W154" s="1081"/>
      <c r="X154" s="1081"/>
      <c r="Y154" s="1081"/>
      <c r="Z154" s="1081"/>
      <c r="AA154" s="1553"/>
      <c r="AB154" s="504"/>
      <c r="AC154" s="504"/>
      <c r="AD154" s="504"/>
      <c r="AE154" s="504"/>
      <c r="AF154" s="1562">
        <v>11</v>
      </c>
    </row>
    <row r="155" spans="1:32" s="4299" customFormat="1" ht="11.45" customHeight="1">
      <c r="A155" s="913"/>
      <c r="B155" s="1557"/>
      <c r="C155" s="1557"/>
      <c r="D155" s="289"/>
      <c r="K155" s="1081"/>
      <c r="L155" s="1557"/>
      <c r="M155" s="1557"/>
      <c r="N155" s="1081"/>
      <c r="O155" s="1081"/>
      <c r="P155" s="1081"/>
      <c r="Q155" s="1081"/>
      <c r="R155" s="1557"/>
      <c r="S155" s="1081"/>
      <c r="T155" s="1081"/>
      <c r="U155" s="482"/>
      <c r="V155" s="1081"/>
      <c r="W155" s="1081"/>
      <c r="X155" s="1081"/>
      <c r="Y155" s="1081"/>
      <c r="Z155" s="1081"/>
      <c r="AA155" s="1553"/>
      <c r="AB155" s="504"/>
      <c r="AC155" s="504"/>
      <c r="AD155" s="504"/>
      <c r="AE155" s="504"/>
      <c r="AF155" s="1562">
        <v>11</v>
      </c>
    </row>
    <row r="156" spans="1:32" s="4299" customFormat="1" ht="11.45" customHeight="1">
      <c r="A156" s="913"/>
      <c r="B156" s="1557"/>
      <c r="C156" s="1557"/>
      <c r="D156" s="289"/>
      <c r="K156" s="1081"/>
      <c r="L156" s="1557"/>
      <c r="M156" s="1557"/>
      <c r="N156" s="1081"/>
      <c r="O156" s="1081"/>
      <c r="P156" s="1081"/>
      <c r="Q156" s="1081"/>
      <c r="R156" s="1557"/>
      <c r="S156" s="1081"/>
      <c r="T156" s="1081"/>
      <c r="U156" s="482"/>
      <c r="V156" s="1081"/>
      <c r="W156" s="1081"/>
      <c r="X156" s="1081"/>
      <c r="Y156" s="1081"/>
      <c r="Z156" s="1081"/>
      <c r="AA156" s="1553"/>
      <c r="AB156" s="504"/>
      <c r="AC156" s="504"/>
      <c r="AD156" s="504"/>
      <c r="AE156" s="504"/>
      <c r="AF156" s="1562">
        <v>11</v>
      </c>
    </row>
    <row r="157" spans="1:32" s="4299" customFormat="1" ht="11.45" customHeight="1">
      <c r="A157" s="913"/>
      <c r="B157" s="1557"/>
      <c r="C157" s="1557"/>
      <c r="D157" s="289"/>
      <c r="K157" s="1081"/>
      <c r="L157" s="1557"/>
      <c r="M157" s="1557"/>
      <c r="N157" s="1081"/>
      <c r="O157" s="1081"/>
      <c r="P157" s="1081"/>
      <c r="Q157" s="1081"/>
      <c r="R157" s="1557"/>
      <c r="S157" s="1081"/>
      <c r="T157" s="1081"/>
      <c r="U157" s="482"/>
      <c r="V157" s="1081"/>
      <c r="W157" s="1081"/>
      <c r="X157" s="1081"/>
      <c r="Y157" s="1081"/>
      <c r="Z157" s="1081"/>
      <c r="AA157" s="1553"/>
      <c r="AB157" s="504"/>
      <c r="AC157" s="504"/>
      <c r="AD157" s="504"/>
      <c r="AE157" s="504"/>
      <c r="AF157" s="1562">
        <v>11</v>
      </c>
    </row>
    <row r="158" spans="1:32" s="4299" customFormat="1" ht="11.45" customHeight="1">
      <c r="A158" s="913"/>
      <c r="B158" s="1557"/>
      <c r="C158" s="1557"/>
      <c r="D158" s="289"/>
      <c r="K158" s="1081"/>
      <c r="L158" s="1557"/>
      <c r="M158" s="1557"/>
      <c r="N158" s="1081"/>
      <c r="O158" s="1081"/>
      <c r="P158" s="1081"/>
      <c r="Q158" s="1081"/>
      <c r="R158" s="1557"/>
      <c r="S158" s="1081"/>
      <c r="T158" s="1081"/>
      <c r="U158" s="482"/>
      <c r="V158" s="1081"/>
      <c r="W158" s="1081"/>
      <c r="X158" s="1081"/>
      <c r="Y158" s="1081"/>
      <c r="Z158" s="1081"/>
      <c r="AA158" s="1553"/>
      <c r="AB158" s="504"/>
      <c r="AC158" s="504"/>
      <c r="AD158" s="504"/>
      <c r="AE158" s="504"/>
      <c r="AF158" s="1562">
        <v>11</v>
      </c>
    </row>
    <row r="159" spans="1:32" s="4299" customFormat="1" ht="11.45" customHeight="1">
      <c r="A159" s="913"/>
      <c r="B159" s="1557"/>
      <c r="C159" s="1557"/>
      <c r="D159" s="289"/>
      <c r="K159" s="1081"/>
      <c r="L159" s="1557"/>
      <c r="M159" s="1557"/>
      <c r="N159" s="1081"/>
      <c r="O159" s="1081"/>
      <c r="P159" s="1081"/>
      <c r="Q159" s="1081"/>
      <c r="R159" s="1557"/>
      <c r="S159" s="1081"/>
      <c r="T159" s="1081"/>
      <c r="U159" s="482"/>
      <c r="V159" s="1081"/>
      <c r="W159" s="1081"/>
      <c r="X159" s="1081"/>
      <c r="Y159" s="1081"/>
      <c r="Z159" s="1081"/>
      <c r="AA159" s="1553"/>
      <c r="AB159" s="504"/>
      <c r="AC159" s="504"/>
      <c r="AD159" s="504"/>
      <c r="AE159" s="504"/>
      <c r="AF159" s="1562">
        <v>11</v>
      </c>
    </row>
    <row r="160" spans="1:32" s="4299" customFormat="1" ht="11.45" customHeight="1">
      <c r="A160" s="913"/>
      <c r="B160" s="1557"/>
      <c r="C160" s="1557"/>
      <c r="D160" s="289"/>
      <c r="K160" s="1081"/>
      <c r="L160" s="1557"/>
      <c r="M160" s="1557"/>
      <c r="N160" s="1081"/>
      <c r="O160" s="1081"/>
      <c r="P160" s="1081"/>
      <c r="Q160" s="1081"/>
      <c r="R160" s="1557"/>
      <c r="S160" s="1081"/>
      <c r="T160" s="1081"/>
      <c r="U160" s="482"/>
      <c r="V160" s="1081"/>
      <c r="W160" s="1081"/>
      <c r="X160" s="1081"/>
      <c r="Y160" s="1081"/>
      <c r="Z160" s="1081"/>
      <c r="AA160" s="1553"/>
      <c r="AB160" s="504"/>
      <c r="AC160" s="504"/>
      <c r="AD160" s="504"/>
      <c r="AE160" s="504"/>
      <c r="AF160" s="1562">
        <v>11</v>
      </c>
    </row>
    <row r="161" spans="1:32" s="4299" customFormat="1" ht="11.45" customHeight="1">
      <c r="A161" s="913"/>
      <c r="B161" s="1557"/>
      <c r="C161" s="1557"/>
      <c r="D161" s="289"/>
      <c r="K161" s="1081"/>
      <c r="L161" s="1557"/>
      <c r="M161" s="1557"/>
      <c r="N161" s="1081"/>
      <c r="O161" s="1081"/>
      <c r="P161" s="1081"/>
      <c r="Q161" s="1081"/>
      <c r="R161" s="1557"/>
      <c r="S161" s="1081"/>
      <c r="T161" s="1081"/>
      <c r="U161" s="482"/>
      <c r="V161" s="1081"/>
      <c r="W161" s="1081"/>
      <c r="X161" s="1081"/>
      <c r="Y161" s="1081"/>
      <c r="Z161" s="1081"/>
      <c r="AA161" s="1553"/>
      <c r="AB161" s="504"/>
      <c r="AC161" s="504"/>
      <c r="AD161" s="504"/>
      <c r="AE161" s="504"/>
      <c r="AF161" s="1562">
        <v>11</v>
      </c>
    </row>
    <row r="162" spans="1:32" s="4299" customFormat="1" ht="11.45" customHeight="1">
      <c r="A162" s="913"/>
      <c r="B162" s="1557"/>
      <c r="C162" s="1557"/>
      <c r="D162" s="289"/>
      <c r="K162" s="1081"/>
      <c r="L162" s="1557"/>
      <c r="M162" s="1557"/>
      <c r="N162" s="1081"/>
      <c r="O162" s="1081"/>
      <c r="P162" s="1081"/>
      <c r="Q162" s="1081"/>
      <c r="R162" s="1557"/>
      <c r="S162" s="1081"/>
      <c r="T162" s="1081"/>
      <c r="U162" s="482"/>
      <c r="V162" s="1081"/>
      <c r="W162" s="1081"/>
      <c r="X162" s="1081"/>
      <c r="Y162" s="1081"/>
      <c r="Z162" s="1081"/>
      <c r="AA162" s="1553"/>
      <c r="AB162" s="504"/>
      <c r="AC162" s="504"/>
      <c r="AD162" s="504"/>
      <c r="AE162" s="504"/>
      <c r="AF162" s="1562">
        <v>11</v>
      </c>
    </row>
    <row r="163" spans="1:32" s="4299" customFormat="1" ht="11.45" customHeight="1">
      <c r="A163" s="913"/>
      <c r="B163" s="1557"/>
      <c r="C163" s="1557"/>
      <c r="D163" s="289"/>
      <c r="K163" s="1081"/>
      <c r="L163" s="1557"/>
      <c r="M163" s="1557"/>
      <c r="N163" s="1081"/>
      <c r="O163" s="1081"/>
      <c r="P163" s="1081"/>
      <c r="Q163" s="1081"/>
      <c r="R163" s="1557"/>
      <c r="S163" s="1081"/>
      <c r="T163" s="1081"/>
      <c r="U163" s="482"/>
      <c r="V163" s="1081"/>
      <c r="W163" s="1081"/>
      <c r="X163" s="1081"/>
      <c r="Y163" s="1081"/>
      <c r="Z163" s="1081"/>
      <c r="AA163" s="1553"/>
      <c r="AB163" s="504"/>
      <c r="AC163" s="504"/>
      <c r="AD163" s="504"/>
      <c r="AE163" s="504"/>
      <c r="AF163" s="1562">
        <v>11</v>
      </c>
    </row>
    <row r="164" spans="1:32" s="4299" customFormat="1" ht="11.45" customHeight="1">
      <c r="A164" s="913"/>
      <c r="B164" s="1557"/>
      <c r="C164" s="1557"/>
      <c r="D164" s="289"/>
      <c r="K164" s="1081"/>
      <c r="L164" s="1557"/>
      <c r="M164" s="1557"/>
      <c r="N164" s="1081"/>
      <c r="O164" s="1081"/>
      <c r="P164" s="1081"/>
      <c r="Q164" s="1081"/>
      <c r="R164" s="1557"/>
      <c r="S164" s="1081"/>
      <c r="T164" s="1081"/>
      <c r="U164" s="482"/>
      <c r="V164" s="1081"/>
      <c r="W164" s="1081"/>
      <c r="X164" s="1081"/>
      <c r="Y164" s="1081"/>
      <c r="Z164" s="1081"/>
      <c r="AA164" s="1553"/>
      <c r="AB164" s="504"/>
      <c r="AC164" s="504"/>
      <c r="AD164" s="504"/>
      <c r="AE164" s="504"/>
      <c r="AF164" s="1562">
        <v>11</v>
      </c>
    </row>
    <row r="165" spans="1:32" s="4299" customFormat="1" ht="11.45" customHeight="1">
      <c r="A165" s="913"/>
      <c r="B165" s="1557"/>
      <c r="C165" s="1557"/>
      <c r="D165" s="289"/>
      <c r="K165" s="1081"/>
      <c r="L165" s="1557"/>
      <c r="M165" s="1557"/>
      <c r="N165" s="1081"/>
      <c r="O165" s="1081"/>
      <c r="P165" s="1081"/>
      <c r="Q165" s="1081"/>
      <c r="R165" s="1557"/>
      <c r="S165" s="1081"/>
      <c r="T165" s="1081"/>
      <c r="U165" s="482"/>
      <c r="V165" s="1081"/>
      <c r="W165" s="1081"/>
      <c r="X165" s="1081"/>
      <c r="Y165" s="1081"/>
      <c r="Z165" s="1081"/>
      <c r="AA165" s="1553"/>
      <c r="AB165" s="504"/>
      <c r="AC165" s="504"/>
      <c r="AD165" s="504"/>
      <c r="AE165" s="504"/>
      <c r="AF165" s="1562">
        <v>11</v>
      </c>
    </row>
    <row r="166" spans="1:32" s="4299" customFormat="1" ht="11.45" customHeight="1">
      <c r="A166" s="913"/>
      <c r="B166" s="1557"/>
      <c r="C166" s="1557"/>
      <c r="D166" s="289"/>
      <c r="K166" s="1081"/>
      <c r="L166" s="1557"/>
      <c r="M166" s="1557"/>
      <c r="N166" s="1081"/>
      <c r="O166" s="1081"/>
      <c r="P166" s="1081"/>
      <c r="Q166" s="1081"/>
      <c r="R166" s="1557"/>
      <c r="S166" s="1081"/>
      <c r="T166" s="1081"/>
      <c r="U166" s="482"/>
      <c r="V166" s="1081"/>
      <c r="W166" s="1081"/>
      <c r="X166" s="1081"/>
      <c r="Y166" s="1081"/>
      <c r="Z166" s="1081"/>
      <c r="AA166" s="1553"/>
      <c r="AB166" s="504"/>
      <c r="AC166" s="504"/>
      <c r="AD166" s="504"/>
      <c r="AE166" s="504"/>
      <c r="AF166" s="1562">
        <v>11</v>
      </c>
    </row>
    <row r="167" spans="1:32" s="4299" customFormat="1" ht="11.45" customHeight="1">
      <c r="A167" s="913"/>
      <c r="B167" s="1557"/>
      <c r="C167" s="1557"/>
      <c r="D167" s="289"/>
      <c r="K167" s="1081"/>
      <c r="L167" s="1557"/>
      <c r="M167" s="1557"/>
      <c r="N167" s="1081"/>
      <c r="O167" s="1081"/>
      <c r="P167" s="1081"/>
      <c r="Q167" s="1081"/>
      <c r="R167" s="1557"/>
      <c r="S167" s="1081"/>
      <c r="T167" s="1081"/>
      <c r="U167" s="482"/>
      <c r="V167" s="1081"/>
      <c r="W167" s="1081"/>
      <c r="X167" s="1081"/>
      <c r="Y167" s="1081"/>
      <c r="Z167" s="1081"/>
      <c r="AA167" s="1553"/>
      <c r="AB167" s="504"/>
      <c r="AC167" s="504"/>
      <c r="AD167" s="504"/>
      <c r="AE167" s="504"/>
      <c r="AF167" s="1562">
        <v>11</v>
      </c>
    </row>
    <row r="168" spans="1:32" s="4299" customFormat="1" ht="11.45" customHeight="1">
      <c r="A168" s="913"/>
      <c r="B168" s="1557"/>
      <c r="C168" s="1557"/>
      <c r="D168" s="289"/>
      <c r="K168" s="1081"/>
      <c r="L168" s="1557"/>
      <c r="M168" s="1557"/>
      <c r="N168" s="1081"/>
      <c r="O168" s="1081"/>
      <c r="P168" s="1081"/>
      <c r="Q168" s="1081"/>
      <c r="R168" s="1557"/>
      <c r="S168" s="1081"/>
      <c r="T168" s="1081"/>
      <c r="U168" s="482"/>
      <c r="V168" s="1081"/>
      <c r="W168" s="1081"/>
      <c r="X168" s="1081"/>
      <c r="Y168" s="1081"/>
      <c r="Z168" s="1081"/>
      <c r="AA168" s="1553"/>
      <c r="AB168" s="504"/>
      <c r="AC168" s="504"/>
      <c r="AD168" s="504"/>
      <c r="AE168" s="504"/>
      <c r="AF168" s="1562">
        <v>11</v>
      </c>
    </row>
    <row r="169" spans="1:32" s="4299" customFormat="1" ht="11.45" customHeight="1">
      <c r="A169" s="913"/>
      <c r="B169" s="1557"/>
      <c r="C169" s="1557"/>
      <c r="D169" s="289"/>
      <c r="K169" s="1081"/>
      <c r="L169" s="1557"/>
      <c r="M169" s="1557"/>
      <c r="N169" s="1081"/>
      <c r="O169" s="1081"/>
      <c r="P169" s="1081"/>
      <c r="Q169" s="1081"/>
      <c r="R169" s="1557"/>
      <c r="S169" s="1081"/>
      <c r="T169" s="1081"/>
      <c r="U169" s="482"/>
      <c r="V169" s="1081"/>
      <c r="W169" s="1081"/>
      <c r="X169" s="1081"/>
      <c r="Y169" s="1081"/>
      <c r="Z169" s="1081"/>
      <c r="AA169" s="1553"/>
      <c r="AB169" s="504"/>
      <c r="AC169" s="504"/>
      <c r="AD169" s="504"/>
      <c r="AE169" s="504"/>
      <c r="AF169" s="1562">
        <v>11</v>
      </c>
    </row>
    <row r="170" spans="1:32" s="4299" customFormat="1" ht="11.45" customHeight="1">
      <c r="A170" s="913"/>
      <c r="B170" s="1557"/>
      <c r="C170" s="1557"/>
      <c r="D170" s="289"/>
      <c r="K170" s="1081"/>
      <c r="L170" s="1557"/>
      <c r="M170" s="1557"/>
      <c r="N170" s="1081"/>
      <c r="O170" s="1081"/>
      <c r="P170" s="1081"/>
      <c r="Q170" s="1081"/>
      <c r="R170" s="1557"/>
      <c r="S170" s="1081"/>
      <c r="T170" s="1081"/>
      <c r="U170" s="482"/>
      <c r="V170" s="1081"/>
      <c r="W170" s="1081"/>
      <c r="X170" s="1081"/>
      <c r="Y170" s="1081"/>
      <c r="Z170" s="1081"/>
      <c r="AA170" s="1553"/>
      <c r="AB170" s="504"/>
      <c r="AC170" s="504"/>
      <c r="AD170" s="504"/>
      <c r="AE170" s="504"/>
      <c r="AF170" s="1562">
        <v>11</v>
      </c>
    </row>
    <row r="171" spans="1:32" s="4299" customFormat="1" ht="11.45" customHeight="1">
      <c r="A171" s="913"/>
      <c r="B171" s="1557"/>
      <c r="C171" s="1557"/>
      <c r="D171" s="289"/>
      <c r="K171" s="1081"/>
      <c r="L171" s="1557"/>
      <c r="M171" s="1557"/>
      <c r="N171" s="1081"/>
      <c r="O171" s="1081"/>
      <c r="P171" s="1081"/>
      <c r="Q171" s="1081"/>
      <c r="R171" s="1557"/>
      <c r="S171" s="1081"/>
      <c r="T171" s="1081"/>
      <c r="U171" s="482"/>
      <c r="V171" s="1081"/>
      <c r="W171" s="1081"/>
      <c r="X171" s="1081"/>
      <c r="Y171" s="1081"/>
      <c r="Z171" s="1081"/>
      <c r="AA171" s="1553"/>
      <c r="AB171" s="504"/>
      <c r="AC171" s="504"/>
      <c r="AD171" s="504"/>
      <c r="AE171" s="504"/>
      <c r="AF171" s="1562">
        <v>11</v>
      </c>
    </row>
    <row r="172" spans="1:32" s="4299" customFormat="1" ht="11.45" customHeight="1">
      <c r="A172" s="913"/>
      <c r="B172" s="1557"/>
      <c r="C172" s="1557"/>
      <c r="D172" s="289"/>
      <c r="K172" s="1081"/>
      <c r="L172" s="1557"/>
      <c r="M172" s="1557"/>
      <c r="N172" s="1081"/>
      <c r="O172" s="1081"/>
      <c r="P172" s="1081"/>
      <c r="Q172" s="1081"/>
      <c r="R172" s="1557"/>
      <c r="S172" s="1081"/>
      <c r="T172" s="1081"/>
      <c r="U172" s="482"/>
      <c r="V172" s="1081"/>
      <c r="W172" s="1081"/>
      <c r="X172" s="1081"/>
      <c r="Y172" s="1081"/>
      <c r="Z172" s="1081"/>
      <c r="AA172" s="1553"/>
      <c r="AB172" s="504"/>
      <c r="AC172" s="504"/>
      <c r="AD172" s="504"/>
      <c r="AE172" s="504"/>
      <c r="AF172" s="1562">
        <v>11</v>
      </c>
    </row>
    <row r="173" spans="1:32" s="4299" customFormat="1" ht="11.45" customHeight="1">
      <c r="A173" s="913"/>
      <c r="B173" s="1557"/>
      <c r="C173" s="1557"/>
      <c r="D173" s="289"/>
      <c r="K173" s="1081"/>
      <c r="L173" s="1557"/>
      <c r="M173" s="1557"/>
      <c r="N173" s="1081"/>
      <c r="O173" s="1081"/>
      <c r="P173" s="1081"/>
      <c r="Q173" s="1081"/>
      <c r="R173" s="1557"/>
      <c r="S173" s="1081"/>
      <c r="T173" s="1081"/>
      <c r="U173" s="482"/>
      <c r="V173" s="1081"/>
      <c r="W173" s="1081"/>
      <c r="X173" s="1081"/>
      <c r="Y173" s="1081"/>
      <c r="Z173" s="1081"/>
      <c r="AA173" s="1553"/>
      <c r="AB173" s="504"/>
      <c r="AC173" s="504"/>
      <c r="AD173" s="504"/>
      <c r="AE173" s="504"/>
      <c r="AF173" s="1562">
        <v>11</v>
      </c>
    </row>
    <row r="174" spans="1:32" s="4299" customFormat="1" ht="11.45" customHeight="1">
      <c r="A174" s="913"/>
      <c r="B174" s="1557"/>
      <c r="C174" s="1557"/>
      <c r="D174" s="289"/>
      <c r="K174" s="1081"/>
      <c r="L174" s="1557"/>
      <c r="M174" s="1557"/>
      <c r="N174" s="1081"/>
      <c r="O174" s="1081"/>
      <c r="P174" s="1081"/>
      <c r="Q174" s="1081"/>
      <c r="R174" s="1557"/>
      <c r="S174" s="1081"/>
      <c r="T174" s="1081"/>
      <c r="U174" s="482"/>
      <c r="V174" s="1081"/>
      <c r="W174" s="1081"/>
      <c r="X174" s="1081"/>
      <c r="Y174" s="1081"/>
      <c r="Z174" s="1081"/>
      <c r="AA174" s="1553"/>
      <c r="AB174" s="504"/>
      <c r="AC174" s="504"/>
      <c r="AD174" s="504"/>
      <c r="AE174" s="504"/>
      <c r="AF174" s="1562">
        <v>11</v>
      </c>
    </row>
    <row r="175" spans="1:32" s="4299" customFormat="1" ht="11.45" customHeight="1">
      <c r="A175" s="913"/>
      <c r="B175" s="1557"/>
      <c r="C175" s="1557"/>
      <c r="D175" s="289"/>
      <c r="K175" s="1081"/>
      <c r="L175" s="1557"/>
      <c r="M175" s="1557"/>
      <c r="N175" s="1081"/>
      <c r="O175" s="1081"/>
      <c r="P175" s="1081"/>
      <c r="Q175" s="1081"/>
      <c r="R175" s="1557"/>
      <c r="S175" s="1081"/>
      <c r="T175" s="1081"/>
      <c r="U175" s="482"/>
      <c r="V175" s="1081"/>
      <c r="W175" s="1081"/>
      <c r="X175" s="1081"/>
      <c r="Y175" s="1081"/>
      <c r="Z175" s="1081"/>
      <c r="AA175" s="1553"/>
      <c r="AB175" s="504"/>
      <c r="AC175" s="504"/>
      <c r="AD175" s="504"/>
      <c r="AE175" s="504"/>
      <c r="AF175" s="1562">
        <v>11</v>
      </c>
    </row>
    <row r="176" spans="1:32" s="4299" customFormat="1" ht="11.45" customHeight="1">
      <c r="A176" s="913"/>
      <c r="B176" s="1557"/>
      <c r="C176" s="1557"/>
      <c r="D176" s="289"/>
      <c r="K176" s="1081"/>
      <c r="L176" s="1557"/>
      <c r="M176" s="1557"/>
      <c r="N176" s="1081"/>
      <c r="O176" s="1081"/>
      <c r="P176" s="1081"/>
      <c r="Q176" s="1081"/>
      <c r="R176" s="1557"/>
      <c r="S176" s="1081"/>
      <c r="T176" s="1081"/>
      <c r="U176" s="482"/>
      <c r="V176" s="1081"/>
      <c r="W176" s="1081"/>
      <c r="X176" s="1081"/>
      <c r="Y176" s="1081"/>
      <c r="Z176" s="1081"/>
      <c r="AA176" s="1553"/>
      <c r="AB176" s="504"/>
      <c r="AC176" s="504"/>
      <c r="AD176" s="504"/>
      <c r="AE176" s="504"/>
      <c r="AF176" s="1562">
        <v>11</v>
      </c>
    </row>
    <row r="177" spans="1:32" s="4299" customFormat="1" ht="11.45" customHeight="1">
      <c r="A177" s="913"/>
      <c r="B177" s="1557"/>
      <c r="C177" s="1557"/>
      <c r="D177" s="289"/>
      <c r="K177" s="1081"/>
      <c r="L177" s="1557"/>
      <c r="M177" s="1557"/>
      <c r="N177" s="1081"/>
      <c r="O177" s="1081"/>
      <c r="P177" s="1081"/>
      <c r="Q177" s="1081"/>
      <c r="R177" s="1557"/>
      <c r="S177" s="1081"/>
      <c r="T177" s="1081"/>
      <c r="U177" s="482"/>
      <c r="V177" s="1081"/>
      <c r="W177" s="1081"/>
      <c r="X177" s="1081"/>
      <c r="Y177" s="1081"/>
      <c r="Z177" s="1081"/>
      <c r="AA177" s="1553"/>
      <c r="AB177" s="504"/>
      <c r="AC177" s="504"/>
      <c r="AD177" s="504"/>
      <c r="AE177" s="504"/>
      <c r="AF177" s="1562">
        <v>11</v>
      </c>
    </row>
    <row r="178" spans="1:32" s="4299" customFormat="1" ht="11.45" customHeight="1">
      <c r="A178" s="913"/>
      <c r="B178" s="1557"/>
      <c r="C178" s="1557"/>
      <c r="D178" s="289"/>
      <c r="K178" s="1081"/>
      <c r="L178" s="1557"/>
      <c r="M178" s="1557"/>
      <c r="N178" s="1081"/>
      <c r="O178" s="1081"/>
      <c r="P178" s="1081"/>
      <c r="Q178" s="1081"/>
      <c r="R178" s="1557"/>
      <c r="S178" s="1081"/>
      <c r="T178" s="1081"/>
      <c r="U178" s="482"/>
      <c r="V178" s="1081"/>
      <c r="W178" s="1081"/>
      <c r="X178" s="1081"/>
      <c r="Y178" s="1081"/>
      <c r="Z178" s="1081"/>
      <c r="AA178" s="1553"/>
      <c r="AB178" s="504"/>
      <c r="AC178" s="504"/>
      <c r="AD178" s="504"/>
      <c r="AE178" s="504"/>
      <c r="AF178" s="1562">
        <v>11</v>
      </c>
    </row>
    <row r="179" spans="1:32" s="4299" customFormat="1" ht="11.45" customHeight="1">
      <c r="A179" s="913"/>
      <c r="B179" s="1557"/>
      <c r="C179" s="1557"/>
      <c r="D179" s="289"/>
      <c r="K179" s="1081"/>
      <c r="L179" s="1557"/>
      <c r="M179" s="1557"/>
      <c r="N179" s="1081"/>
      <c r="O179" s="1081"/>
      <c r="P179" s="1081"/>
      <c r="Q179" s="1081"/>
      <c r="R179" s="1557"/>
      <c r="S179" s="1081"/>
      <c r="T179" s="1081"/>
      <c r="U179" s="482"/>
      <c r="V179" s="1081"/>
      <c r="W179" s="1081"/>
      <c r="X179" s="1081"/>
      <c r="Y179" s="1081"/>
      <c r="Z179" s="1081"/>
      <c r="AA179" s="1553"/>
      <c r="AB179" s="504"/>
      <c r="AC179" s="504"/>
      <c r="AD179" s="504"/>
      <c r="AE179" s="504"/>
      <c r="AF179" s="1562">
        <v>11</v>
      </c>
    </row>
    <row r="180" spans="1:32" s="4299" customFormat="1" ht="11.45" customHeight="1">
      <c r="A180" s="913"/>
      <c r="B180" s="1557"/>
      <c r="C180" s="1557"/>
      <c r="D180" s="289"/>
      <c r="K180" s="1081"/>
      <c r="L180" s="1557"/>
      <c r="M180" s="1557"/>
      <c r="N180" s="1081"/>
      <c r="O180" s="1081"/>
      <c r="P180" s="1081"/>
      <c r="Q180" s="1081"/>
      <c r="R180" s="1557"/>
      <c r="S180" s="1081"/>
      <c r="T180" s="1081"/>
      <c r="U180" s="482"/>
      <c r="V180" s="1081"/>
      <c r="W180" s="1081"/>
      <c r="X180" s="1081"/>
      <c r="Y180" s="1081"/>
      <c r="Z180" s="1081"/>
      <c r="AA180" s="1553"/>
      <c r="AB180" s="504"/>
      <c r="AC180" s="504"/>
      <c r="AD180" s="504"/>
      <c r="AE180" s="504"/>
      <c r="AF180" s="1562">
        <v>11</v>
      </c>
    </row>
    <row r="181" spans="1:32" s="4299" customFormat="1" ht="11.45" customHeight="1">
      <c r="A181" s="913"/>
      <c r="B181" s="1557"/>
      <c r="C181" s="1557"/>
      <c r="D181" s="289"/>
      <c r="K181" s="1081"/>
      <c r="L181" s="1557"/>
      <c r="M181" s="1557"/>
      <c r="N181" s="1081"/>
      <c r="O181" s="1081"/>
      <c r="P181" s="1081"/>
      <c r="Q181" s="1081"/>
      <c r="R181" s="1557"/>
      <c r="S181" s="1081"/>
      <c r="T181" s="1081"/>
      <c r="U181" s="482"/>
      <c r="V181" s="1081"/>
      <c r="W181" s="1081"/>
      <c r="X181" s="1081"/>
      <c r="Y181" s="1081"/>
      <c r="Z181" s="1081"/>
      <c r="AA181" s="1553"/>
      <c r="AB181" s="504"/>
      <c r="AC181" s="504"/>
      <c r="AD181" s="504"/>
      <c r="AE181" s="504"/>
      <c r="AF181" s="1562">
        <v>11</v>
      </c>
    </row>
    <row r="182" spans="1:32" s="4299" customFormat="1" ht="11.45" customHeight="1">
      <c r="A182" s="913"/>
      <c r="B182" s="1557"/>
      <c r="C182" s="1557"/>
      <c r="D182" s="289"/>
      <c r="K182" s="1081"/>
      <c r="L182" s="1557"/>
      <c r="M182" s="1557"/>
      <c r="N182" s="1081"/>
      <c r="O182" s="1081"/>
      <c r="P182" s="1081"/>
      <c r="Q182" s="1081"/>
      <c r="R182" s="1557"/>
      <c r="S182" s="1081"/>
      <c r="T182" s="1081"/>
      <c r="U182" s="482"/>
      <c r="V182" s="1081"/>
      <c r="W182" s="1081"/>
      <c r="X182" s="1081"/>
      <c r="Y182" s="1081"/>
      <c r="Z182" s="1081"/>
      <c r="AA182" s="1553"/>
      <c r="AB182" s="504"/>
      <c r="AC182" s="504"/>
      <c r="AD182" s="504"/>
      <c r="AE182" s="504"/>
      <c r="AF182" s="1562">
        <v>11</v>
      </c>
    </row>
    <row r="183" spans="1:32" s="4299" customFormat="1" ht="11.45" customHeight="1">
      <c r="A183" s="913"/>
      <c r="B183" s="1557"/>
      <c r="C183" s="1557"/>
      <c r="D183" s="289"/>
      <c r="K183" s="1081"/>
      <c r="L183" s="1557"/>
      <c r="M183" s="1557"/>
      <c r="N183" s="1081"/>
      <c r="O183" s="1081"/>
      <c r="P183" s="1081"/>
      <c r="Q183" s="1081"/>
      <c r="R183" s="1557"/>
      <c r="S183" s="1081"/>
      <c r="T183" s="1081"/>
      <c r="U183" s="482"/>
      <c r="V183" s="1081"/>
      <c r="W183" s="1081"/>
      <c r="X183" s="1081"/>
      <c r="Y183" s="1081"/>
      <c r="Z183" s="1081"/>
      <c r="AA183" s="1553"/>
      <c r="AB183" s="504"/>
      <c r="AC183" s="504"/>
      <c r="AD183" s="504"/>
      <c r="AE183" s="504"/>
      <c r="AF183" s="1562">
        <v>11</v>
      </c>
    </row>
    <row r="184" spans="1:32" s="4299" customFormat="1" ht="11.45" customHeight="1">
      <c r="A184" s="913"/>
      <c r="B184" s="1557"/>
      <c r="C184" s="1557"/>
      <c r="D184" s="289"/>
      <c r="K184" s="1081"/>
      <c r="L184" s="1557"/>
      <c r="M184" s="1557"/>
      <c r="N184" s="1081"/>
      <c r="O184" s="1081"/>
      <c r="P184" s="1081"/>
      <c r="Q184" s="1081"/>
      <c r="R184" s="1557"/>
      <c r="S184" s="1081"/>
      <c r="T184" s="1081"/>
      <c r="U184" s="482"/>
      <c r="V184" s="1081"/>
      <c r="W184" s="1081"/>
      <c r="X184" s="1081"/>
      <c r="Y184" s="1081"/>
      <c r="Z184" s="1081"/>
      <c r="AA184" s="1553"/>
      <c r="AB184" s="504"/>
      <c r="AC184" s="504"/>
      <c r="AD184" s="504"/>
      <c r="AE184" s="504"/>
      <c r="AF184" s="1562">
        <v>11</v>
      </c>
    </row>
    <row r="185" spans="1:32" s="4299" customFormat="1" ht="11.45" customHeight="1">
      <c r="A185" s="913"/>
      <c r="B185" s="1557"/>
      <c r="C185" s="1557"/>
      <c r="D185" s="289"/>
      <c r="K185" s="1081"/>
      <c r="L185" s="1557"/>
      <c r="M185" s="1557"/>
      <c r="N185" s="1081"/>
      <c r="O185" s="1081"/>
      <c r="P185" s="1081"/>
      <c r="Q185" s="1081"/>
      <c r="R185" s="1557"/>
      <c r="S185" s="1081"/>
      <c r="T185" s="1081"/>
      <c r="U185" s="482"/>
      <c r="V185" s="1081"/>
      <c r="W185" s="1081"/>
      <c r="X185" s="1081"/>
      <c r="Y185" s="1081"/>
      <c r="Z185" s="1081"/>
      <c r="AA185" s="1553"/>
      <c r="AB185" s="504"/>
      <c r="AC185" s="504"/>
      <c r="AD185" s="504"/>
      <c r="AE185" s="504"/>
      <c r="AF185" s="1562">
        <v>11</v>
      </c>
    </row>
    <row r="186" spans="1:32" s="4299" customFormat="1" ht="11.45" customHeight="1">
      <c r="A186" s="913"/>
      <c r="B186" s="1557"/>
      <c r="C186" s="1557"/>
      <c r="D186" s="289"/>
      <c r="K186" s="1081"/>
      <c r="L186" s="1557"/>
      <c r="M186" s="1557"/>
      <c r="N186" s="1081"/>
      <c r="O186" s="1081"/>
      <c r="P186" s="1081"/>
      <c r="Q186" s="1081"/>
      <c r="R186" s="1557"/>
      <c r="S186" s="1081"/>
      <c r="T186" s="1081"/>
      <c r="U186" s="482"/>
      <c r="V186" s="1081"/>
      <c r="W186" s="1081"/>
      <c r="X186" s="1081"/>
      <c r="Y186" s="1081"/>
      <c r="Z186" s="1081"/>
      <c r="AA186" s="1553"/>
      <c r="AB186" s="504"/>
      <c r="AC186" s="504"/>
      <c r="AD186" s="504"/>
      <c r="AE186" s="504"/>
      <c r="AF186" s="1562">
        <v>11</v>
      </c>
    </row>
    <row r="187" spans="1:32" s="4299" customFormat="1" ht="11.45" customHeight="1">
      <c r="A187" s="913"/>
      <c r="B187" s="1557"/>
      <c r="C187" s="1557"/>
      <c r="D187" s="289"/>
      <c r="K187" s="1081"/>
      <c r="L187" s="1557"/>
      <c r="M187" s="1557"/>
      <c r="N187" s="1081"/>
      <c r="O187" s="1081"/>
      <c r="P187" s="1081"/>
      <c r="Q187" s="1081"/>
      <c r="R187" s="1557"/>
      <c r="S187" s="1081"/>
      <c r="T187" s="1081"/>
      <c r="U187" s="482"/>
      <c r="V187" s="1081"/>
      <c r="W187" s="1081"/>
      <c r="X187" s="1081"/>
      <c r="Y187" s="1081"/>
      <c r="Z187" s="1081"/>
      <c r="AA187" s="1553"/>
      <c r="AB187" s="504"/>
      <c r="AC187" s="504"/>
      <c r="AD187" s="504"/>
      <c r="AE187" s="504"/>
      <c r="AF187" s="1562">
        <v>11</v>
      </c>
    </row>
    <row r="188" spans="1:32" s="4299" customFormat="1" ht="11.45" customHeight="1">
      <c r="A188" s="913"/>
      <c r="B188" s="1557"/>
      <c r="C188" s="1557"/>
      <c r="D188" s="289"/>
      <c r="K188" s="1081"/>
      <c r="L188" s="1557"/>
      <c r="M188" s="1557"/>
      <c r="N188" s="1081"/>
      <c r="O188" s="1081"/>
      <c r="P188" s="1081"/>
      <c r="Q188" s="1081"/>
      <c r="R188" s="1557"/>
      <c r="S188" s="1081"/>
      <c r="T188" s="1081"/>
      <c r="U188" s="482"/>
      <c r="V188" s="1081"/>
      <c r="W188" s="1081"/>
      <c r="X188" s="1081"/>
      <c r="Y188" s="1081"/>
      <c r="Z188" s="1081"/>
      <c r="AA188" s="1553"/>
      <c r="AB188" s="504"/>
      <c r="AC188" s="504"/>
      <c r="AD188" s="504"/>
      <c r="AE188" s="504"/>
      <c r="AF188" s="1562">
        <v>11</v>
      </c>
    </row>
    <row r="189" spans="1:32" s="4299" customFormat="1" ht="11.45" customHeight="1">
      <c r="A189" s="913"/>
      <c r="B189" s="1557"/>
      <c r="C189" s="1557"/>
      <c r="D189" s="289"/>
      <c r="K189" s="1081"/>
      <c r="L189" s="1557"/>
      <c r="M189" s="1557"/>
      <c r="N189" s="1081"/>
      <c r="O189" s="1081"/>
      <c r="P189" s="1081"/>
      <c r="Q189" s="1081"/>
      <c r="R189" s="1557"/>
      <c r="S189" s="1081"/>
      <c r="T189" s="1081"/>
      <c r="U189" s="482"/>
      <c r="V189" s="1081"/>
      <c r="W189" s="1081"/>
      <c r="X189" s="1081"/>
      <c r="Y189" s="1081"/>
      <c r="Z189" s="1081"/>
      <c r="AA189" s="1553"/>
      <c r="AB189" s="504"/>
      <c r="AC189" s="504"/>
      <c r="AD189" s="504"/>
      <c r="AE189" s="504"/>
      <c r="AF189" s="1562">
        <v>11</v>
      </c>
    </row>
    <row r="190" spans="1:32" s="4299" customFormat="1" ht="11.45" customHeight="1">
      <c r="A190" s="913"/>
      <c r="B190" s="1557"/>
      <c r="C190" s="1557"/>
      <c r="D190" s="289"/>
      <c r="K190" s="1081"/>
      <c r="L190" s="1557"/>
      <c r="M190" s="1557"/>
      <c r="N190" s="1081"/>
      <c r="O190" s="1081"/>
      <c r="P190" s="1081"/>
      <c r="Q190" s="1081"/>
      <c r="R190" s="1557"/>
      <c r="S190" s="1081"/>
      <c r="T190" s="1081"/>
      <c r="U190" s="482"/>
      <c r="V190" s="1081"/>
      <c r="W190" s="1081"/>
      <c r="X190" s="1081"/>
      <c r="Y190" s="1081"/>
      <c r="Z190" s="1081"/>
      <c r="AA190" s="1553"/>
      <c r="AB190" s="504"/>
      <c r="AC190" s="504"/>
      <c r="AD190" s="504"/>
      <c r="AE190" s="504"/>
      <c r="AF190" s="1562">
        <v>11</v>
      </c>
    </row>
    <row r="191" spans="1:32" s="4299" customFormat="1" ht="11.45" customHeight="1">
      <c r="A191" s="913"/>
      <c r="B191" s="1557"/>
      <c r="C191" s="1557"/>
      <c r="D191" s="289"/>
      <c r="K191" s="1081"/>
      <c r="L191" s="1557"/>
      <c r="M191" s="1557"/>
      <c r="N191" s="1081"/>
      <c r="O191" s="1081"/>
      <c r="P191" s="1081"/>
      <c r="Q191" s="1081"/>
      <c r="R191" s="1557"/>
      <c r="S191" s="1081"/>
      <c r="T191" s="1081"/>
      <c r="U191" s="482"/>
      <c r="V191" s="1081"/>
      <c r="W191" s="1081"/>
      <c r="X191" s="1081"/>
      <c r="Y191" s="1081"/>
      <c r="Z191" s="1081"/>
      <c r="AA191" s="1553"/>
      <c r="AB191" s="504"/>
      <c r="AC191" s="504"/>
      <c r="AD191" s="504"/>
      <c r="AE191" s="504"/>
      <c r="AF191" s="1562">
        <v>11</v>
      </c>
    </row>
    <row r="192" spans="1:32" s="4299" customFormat="1" ht="11.45" customHeight="1">
      <c r="A192" s="913"/>
      <c r="B192" s="1557"/>
      <c r="C192" s="1557"/>
      <c r="D192" s="289"/>
      <c r="K192" s="1081"/>
      <c r="L192" s="1557"/>
      <c r="M192" s="1557"/>
      <c r="N192" s="1081"/>
      <c r="O192" s="1081"/>
      <c r="P192" s="1081"/>
      <c r="Q192" s="1081"/>
      <c r="R192" s="1557"/>
      <c r="S192" s="1081"/>
      <c r="T192" s="1081"/>
      <c r="U192" s="482"/>
      <c r="V192" s="1081"/>
      <c r="W192" s="1081"/>
      <c r="X192" s="1081"/>
      <c r="Y192" s="1081"/>
      <c r="Z192" s="1081"/>
      <c r="AA192" s="1553"/>
      <c r="AB192" s="504"/>
      <c r="AC192" s="504"/>
      <c r="AD192" s="504"/>
      <c r="AE192" s="504"/>
      <c r="AF192" s="1562">
        <v>11</v>
      </c>
    </row>
    <row r="193" spans="1:32" s="4299" customFormat="1" ht="11.45" customHeight="1">
      <c r="A193" s="913"/>
      <c r="B193" s="1557"/>
      <c r="C193" s="1557"/>
      <c r="D193" s="289"/>
      <c r="K193" s="1081"/>
      <c r="L193" s="1557"/>
      <c r="M193" s="1557"/>
      <c r="N193" s="1081"/>
      <c r="O193" s="1081"/>
      <c r="P193" s="1081"/>
      <c r="Q193" s="1081"/>
      <c r="R193" s="1557"/>
      <c r="S193" s="1081"/>
      <c r="T193" s="1081"/>
      <c r="U193" s="482"/>
      <c r="V193" s="1081"/>
      <c r="W193" s="1081"/>
      <c r="X193" s="1081"/>
      <c r="Y193" s="1081"/>
      <c r="Z193" s="1081"/>
      <c r="AA193" s="1553"/>
      <c r="AB193" s="504"/>
      <c r="AC193" s="504"/>
      <c r="AD193" s="504"/>
      <c r="AE193" s="504"/>
      <c r="AF193" s="1562">
        <v>11</v>
      </c>
    </row>
    <row r="194" spans="1:32" s="4299" customFormat="1" ht="11.45" customHeight="1">
      <c r="A194" s="913"/>
      <c r="B194" s="1557"/>
      <c r="C194" s="1557"/>
      <c r="D194" s="289"/>
      <c r="K194" s="1081"/>
      <c r="L194" s="1557"/>
      <c r="M194" s="1557"/>
      <c r="N194" s="1081"/>
      <c r="O194" s="1081"/>
      <c r="P194" s="1081"/>
      <c r="Q194" s="1081"/>
      <c r="R194" s="1557"/>
      <c r="S194" s="1081"/>
      <c r="T194" s="1081"/>
      <c r="U194" s="482"/>
      <c r="V194" s="1081"/>
      <c r="W194" s="1081"/>
      <c r="X194" s="1081"/>
      <c r="Y194" s="1081"/>
      <c r="Z194" s="1081"/>
      <c r="AA194" s="1553"/>
      <c r="AB194" s="504"/>
      <c r="AC194" s="504"/>
      <c r="AD194" s="504"/>
      <c r="AE194" s="504"/>
      <c r="AF194" s="1562">
        <v>11</v>
      </c>
    </row>
    <row r="195" spans="1:32" s="4299" customFormat="1" ht="11.45" customHeight="1">
      <c r="A195" s="913"/>
      <c r="B195" s="1557"/>
      <c r="C195" s="1557"/>
      <c r="D195" s="289"/>
      <c r="K195" s="1081"/>
      <c r="L195" s="1557"/>
      <c r="M195" s="1557"/>
      <c r="N195" s="1081"/>
      <c r="O195" s="1081"/>
      <c r="P195" s="1081"/>
      <c r="Q195" s="1081"/>
      <c r="R195" s="1557"/>
      <c r="S195" s="1081"/>
      <c r="T195" s="1081"/>
      <c r="U195" s="482"/>
      <c r="V195" s="1081"/>
      <c r="W195" s="1081"/>
      <c r="X195" s="1081"/>
      <c r="Y195" s="1081"/>
      <c r="Z195" s="1081"/>
      <c r="AA195" s="1553"/>
      <c r="AB195" s="504"/>
      <c r="AC195" s="504"/>
      <c r="AD195" s="504"/>
      <c r="AE195" s="504"/>
      <c r="AF195" s="1562">
        <v>11</v>
      </c>
    </row>
    <row r="196" spans="1:32" ht="11.45" customHeight="1">
      <c r="AF196" s="1552">
        <v>11</v>
      </c>
    </row>
    <row r="197" spans="1:32" ht="11.45" customHeight="1">
      <c r="AF197" s="1552">
        <v>11</v>
      </c>
    </row>
    <row r="198" spans="1:32" ht="11.45" customHeight="1">
      <c r="AF198" s="1552">
        <v>11</v>
      </c>
    </row>
    <row r="199" spans="1:32" ht="11.45" customHeight="1">
      <c r="A199" s="916"/>
      <c r="B199" s="1552"/>
      <c r="D199" s="1552"/>
      <c r="K199" s="1552"/>
      <c r="N199" s="1552"/>
      <c r="O199" s="1552"/>
      <c r="P199" s="1552"/>
      <c r="Q199" s="1552"/>
      <c r="S199" s="1552"/>
      <c r="T199" s="1552"/>
      <c r="U199" s="1552"/>
      <c r="V199" s="1552"/>
      <c r="W199" s="1552"/>
      <c r="X199" s="1552"/>
      <c r="Y199" s="1552"/>
      <c r="Z199" s="1552"/>
      <c r="AA199" s="1552"/>
      <c r="AB199" s="1552"/>
      <c r="AC199" s="1552"/>
      <c r="AD199" s="1552"/>
      <c r="AE199" s="1552"/>
      <c r="AF199" s="1552">
        <v>11</v>
      </c>
    </row>
    <row r="200" spans="1:32" ht="11.45" customHeight="1">
      <c r="A200" s="916"/>
      <c r="B200" s="1552"/>
      <c r="D200" s="1552"/>
      <c r="K200" s="1552"/>
      <c r="N200" s="1552"/>
      <c r="O200" s="1552"/>
      <c r="P200" s="1552"/>
      <c r="Q200" s="1552"/>
      <c r="S200" s="1552"/>
      <c r="T200" s="1552"/>
      <c r="U200" s="1552"/>
      <c r="V200" s="1552"/>
      <c r="W200" s="1552"/>
      <c r="X200" s="1552"/>
      <c r="Y200" s="1552"/>
      <c r="Z200" s="1552"/>
      <c r="AA200" s="1552"/>
      <c r="AB200" s="1552"/>
      <c r="AC200" s="1552"/>
      <c r="AD200" s="1552"/>
      <c r="AE200" s="1552"/>
      <c r="AF200" s="1552">
        <v>11</v>
      </c>
    </row>
    <row r="201" spans="1:32" ht="11.45" customHeight="1">
      <c r="A201" s="916"/>
      <c r="B201" s="1552"/>
      <c r="D201" s="1552"/>
      <c r="K201" s="1552"/>
      <c r="N201" s="1552"/>
      <c r="O201" s="1552"/>
      <c r="P201" s="1552"/>
      <c r="Q201" s="1552"/>
      <c r="S201" s="1552"/>
      <c r="T201" s="1552"/>
      <c r="U201" s="1552"/>
      <c r="V201" s="1552"/>
      <c r="W201" s="1552"/>
      <c r="X201" s="1552"/>
      <c r="Y201" s="1552"/>
      <c r="Z201" s="1552"/>
      <c r="AA201" s="1552"/>
      <c r="AB201" s="1552"/>
      <c r="AC201" s="1552"/>
      <c r="AD201" s="1552"/>
      <c r="AE201" s="1552"/>
      <c r="AF201" s="1552">
        <v>11</v>
      </c>
    </row>
    <row r="202" spans="1:32" ht="11.45" customHeight="1">
      <c r="A202" s="916"/>
      <c r="B202" s="1552"/>
      <c r="D202" s="1552"/>
      <c r="K202" s="1552"/>
      <c r="N202" s="1552"/>
      <c r="O202" s="1552"/>
      <c r="P202" s="1552"/>
      <c r="Q202" s="1552"/>
      <c r="S202" s="1552"/>
      <c r="T202" s="1552"/>
      <c r="U202" s="1552"/>
      <c r="V202" s="1552"/>
      <c r="W202" s="1552"/>
      <c r="X202" s="1552"/>
      <c r="Y202" s="1552"/>
      <c r="Z202" s="1552"/>
      <c r="AA202" s="1552"/>
      <c r="AB202" s="1552"/>
      <c r="AC202" s="1552"/>
      <c r="AD202" s="1552"/>
      <c r="AE202" s="1552"/>
      <c r="AF202" s="1552">
        <v>11</v>
      </c>
    </row>
    <row r="203" spans="1:32" ht="11.45" customHeight="1">
      <c r="A203" s="916"/>
      <c r="B203" s="1552"/>
      <c r="D203" s="1552"/>
      <c r="K203" s="1552"/>
      <c r="N203" s="1552"/>
      <c r="O203" s="1552"/>
      <c r="P203" s="1552"/>
      <c r="Q203" s="1552"/>
      <c r="S203" s="1552"/>
      <c r="T203" s="1552"/>
      <c r="U203" s="1552"/>
      <c r="V203" s="1552"/>
      <c r="W203" s="1552"/>
      <c r="X203" s="1552"/>
      <c r="Y203" s="1552"/>
      <c r="Z203" s="1552"/>
      <c r="AA203" s="1552"/>
      <c r="AB203" s="1552"/>
      <c r="AC203" s="1552"/>
      <c r="AD203" s="1552"/>
      <c r="AE203" s="1552"/>
      <c r="AF203" s="1552">
        <v>11</v>
      </c>
    </row>
    <row r="204" spans="1:32" ht="11.45" customHeight="1">
      <c r="A204" s="916"/>
      <c r="B204" s="1552"/>
      <c r="D204" s="1552"/>
      <c r="K204" s="1552"/>
      <c r="N204" s="1552"/>
      <c r="O204" s="1552"/>
      <c r="P204" s="1552"/>
      <c r="Q204" s="1552"/>
      <c r="S204" s="1552"/>
      <c r="T204" s="1552"/>
      <c r="U204" s="1552"/>
      <c r="V204" s="1552"/>
      <c r="W204" s="1552"/>
      <c r="X204" s="1552"/>
      <c r="Y204" s="1552"/>
      <c r="Z204" s="1552"/>
      <c r="AA204" s="1552"/>
      <c r="AB204" s="1552"/>
      <c r="AC204" s="1552"/>
      <c r="AD204" s="1552"/>
      <c r="AE204" s="1552"/>
      <c r="AF204" s="1552">
        <v>11</v>
      </c>
    </row>
    <row r="205" spans="1:32" ht="11.45" customHeight="1">
      <c r="A205" s="916"/>
      <c r="B205" s="1552"/>
      <c r="D205" s="1552"/>
      <c r="K205" s="1552"/>
      <c r="N205" s="1552"/>
      <c r="O205" s="1552"/>
      <c r="P205" s="1552"/>
      <c r="Q205" s="1552"/>
      <c r="S205" s="1552"/>
      <c r="T205" s="1552"/>
      <c r="U205" s="1552"/>
      <c r="V205" s="1552"/>
      <c r="W205" s="1552"/>
      <c r="X205" s="1552"/>
      <c r="Y205" s="1552"/>
      <c r="Z205" s="1552"/>
      <c r="AA205" s="1552"/>
      <c r="AB205" s="1552"/>
      <c r="AC205" s="1552"/>
      <c r="AD205" s="1552"/>
      <c r="AE205" s="1552"/>
      <c r="AF205" s="1552">
        <v>11</v>
      </c>
    </row>
    <row r="206" spans="1:32" ht="11.45" customHeight="1">
      <c r="A206" s="916"/>
      <c r="B206" s="1552"/>
      <c r="D206" s="1552"/>
      <c r="K206" s="1552"/>
      <c r="N206" s="1552"/>
      <c r="O206" s="1552"/>
      <c r="P206" s="1552"/>
      <c r="Q206" s="1552"/>
      <c r="S206" s="1552"/>
      <c r="T206" s="1552"/>
      <c r="U206" s="1552"/>
      <c r="V206" s="1552"/>
      <c r="W206" s="1552"/>
      <c r="X206" s="1552"/>
      <c r="Y206" s="1552"/>
      <c r="Z206" s="1552"/>
      <c r="AA206" s="1552"/>
      <c r="AB206" s="1552"/>
      <c r="AC206" s="1552"/>
      <c r="AD206" s="1552"/>
      <c r="AE206" s="1552"/>
      <c r="AF206" s="1552">
        <v>11</v>
      </c>
    </row>
    <row r="207" spans="1:32" ht="11.45" customHeight="1">
      <c r="A207" s="916"/>
      <c r="B207" s="1552"/>
      <c r="D207" s="1552"/>
      <c r="K207" s="1552"/>
      <c r="N207" s="1552"/>
      <c r="O207" s="1552"/>
      <c r="P207" s="1552"/>
      <c r="Q207" s="1552"/>
      <c r="S207" s="1552"/>
      <c r="T207" s="1552"/>
      <c r="U207" s="1552"/>
      <c r="V207" s="1552"/>
      <c r="W207" s="1552"/>
      <c r="X207" s="1552"/>
      <c r="Y207" s="1552"/>
      <c r="Z207" s="1552"/>
      <c r="AA207" s="1552"/>
      <c r="AB207" s="1552"/>
      <c r="AC207" s="1552"/>
      <c r="AD207" s="1552"/>
      <c r="AE207" s="1552"/>
      <c r="AF207" s="1552">
        <v>11</v>
      </c>
    </row>
    <row r="208" spans="1:32" ht="11.45" customHeight="1">
      <c r="A208" s="916"/>
      <c r="B208" s="1552"/>
      <c r="D208" s="1552"/>
      <c r="K208" s="1552"/>
      <c r="N208" s="1552"/>
      <c r="O208" s="1552"/>
      <c r="P208" s="1552"/>
      <c r="Q208" s="1552"/>
      <c r="S208" s="1552"/>
      <c r="T208" s="1552"/>
      <c r="U208" s="1552"/>
      <c r="V208" s="1552"/>
      <c r="W208" s="1552"/>
      <c r="X208" s="1552"/>
      <c r="Y208" s="1552"/>
      <c r="Z208" s="1552"/>
      <c r="AA208" s="1552"/>
      <c r="AB208" s="1552"/>
      <c r="AC208" s="1552"/>
      <c r="AD208" s="1552"/>
      <c r="AE208" s="1552"/>
      <c r="AF208" s="1552">
        <v>11</v>
      </c>
    </row>
    <row r="209" spans="1:32" ht="11.45" customHeight="1">
      <c r="A209" s="916"/>
      <c r="B209" s="1552"/>
      <c r="D209" s="1552"/>
      <c r="K209" s="1552"/>
      <c r="N209" s="1552"/>
      <c r="O209" s="1552"/>
      <c r="P209" s="1552"/>
      <c r="Q209" s="1552"/>
      <c r="S209" s="1552"/>
      <c r="T209" s="1552"/>
      <c r="U209" s="1552"/>
      <c r="V209" s="1552"/>
      <c r="W209" s="1552"/>
      <c r="X209" s="1552"/>
      <c r="Y209" s="1552"/>
      <c r="Z209" s="1552"/>
      <c r="AA209" s="1552"/>
      <c r="AB209" s="1552"/>
      <c r="AC209" s="1552"/>
      <c r="AD209" s="1552"/>
      <c r="AE209" s="1552"/>
      <c r="AF209" s="1552">
        <v>11</v>
      </c>
    </row>
    <row r="210" spans="1:32" ht="11.25" hidden="1" customHeight="1">
      <c r="A210" s="913" t="s">
        <v>82</v>
      </c>
      <c r="B210" s="1081">
        <v>0</v>
      </c>
      <c r="C210" s="1557">
        <v>0</v>
      </c>
      <c r="D210" s="1556">
        <v>3</v>
      </c>
      <c r="E210" s="1552">
        <v>7</v>
      </c>
      <c r="F210" s="1552">
        <v>54</v>
      </c>
      <c r="G210" s="1552">
        <v>10</v>
      </c>
      <c r="H210" s="1552">
        <v>0</v>
      </c>
      <c r="I210" s="1552">
        <v>40</v>
      </c>
      <c r="J210" s="1552">
        <v>102</v>
      </c>
      <c r="K210" s="1081">
        <v>9</v>
      </c>
      <c r="L210" s="1557">
        <v>5</v>
      </c>
      <c r="M210" s="1557">
        <v>3</v>
      </c>
      <c r="N210" s="1081">
        <v>3</v>
      </c>
      <c r="O210" s="1081">
        <v>3</v>
      </c>
      <c r="P210" s="1081">
        <v>3</v>
      </c>
      <c r="Q210" s="1081">
        <v>3</v>
      </c>
      <c r="R210" s="1557">
        <v>10</v>
      </c>
      <c r="S210" s="1081">
        <v>34</v>
      </c>
      <c r="T210" s="1081">
        <v>9</v>
      </c>
      <c r="U210" s="482">
        <v>8</v>
      </c>
      <c r="V210" s="1081">
        <v>8</v>
      </c>
      <c r="W210" s="1081">
        <v>8</v>
      </c>
      <c r="X210" s="1081">
        <v>8</v>
      </c>
      <c r="Y210" s="1081">
        <v>8</v>
      </c>
      <c r="Z210" s="1081">
        <v>8</v>
      </c>
      <c r="AA210" s="1553">
        <v>8</v>
      </c>
      <c r="AB210" s="1553">
        <v>8</v>
      </c>
      <c r="AC210" s="1553">
        <v>8</v>
      </c>
      <c r="AD210" s="1553">
        <v>8</v>
      </c>
      <c r="AE210" s="1553">
        <v>8</v>
      </c>
      <c r="AF210" s="1552">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5259" hidden="1" customWidth="1"/>
    <col min="2" max="2" width="3.5703125" style="4275" hidden="1" customWidth="1"/>
    <col min="3" max="3" width="3" style="4267" customWidth="1"/>
    <col min="4" max="4" width="7" style="4267" customWidth="1"/>
    <col min="5" max="5" width="69" style="4267" customWidth="1"/>
    <col min="6" max="6" width="10" style="4267" customWidth="1"/>
    <col min="7" max="8" width="44" style="4267" hidden="1" customWidth="1"/>
    <col min="9" max="9" width="44" style="4267" customWidth="1"/>
    <col min="10" max="10" width="43" style="4267" customWidth="1"/>
    <col min="11" max="11" width="73" style="4267" customWidth="1"/>
    <col min="12" max="12" width="3" style="4267" customWidth="1"/>
    <col min="13" max="23" width="10" style="4267" customWidth="1"/>
    <col min="24" max="24" width="10.5703125" style="4267" hidden="1"/>
  </cols>
  <sheetData>
    <row r="1" spans="1:24" s="4274" customFormat="1" ht="22.5" hidden="1" customHeight="1">
      <c r="A1" s="474"/>
      <c r="B1" s="449"/>
      <c r="G1" s="355">
        <v>4</v>
      </c>
      <c r="I1" s="355">
        <v>4</v>
      </c>
      <c r="K1" s="355">
        <v>5</v>
      </c>
      <c r="X1" s="355" t="s">
        <v>14</v>
      </c>
    </row>
    <row r="2" spans="1:24" ht="3" customHeight="1">
      <c r="X2" s="443">
        <v>3</v>
      </c>
    </row>
    <row r="3" spans="1:24" ht="78.75" customHeight="1">
      <c r="D3" s="532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5322"/>
      <c r="F3" s="5323"/>
      <c r="X3" s="443">
        <v>75</v>
      </c>
    </row>
    <row r="4" spans="1:24" s="4267" customFormat="1" ht="21" customHeight="1">
      <c r="A4" s="878"/>
      <c r="B4" s="449"/>
      <c r="D4" s="5445" t="str">
        <f>IF(org=0,"Не определено",org)</f>
        <v>КГУП "Примтеплоэнерго"</v>
      </c>
      <c r="E4" s="5446"/>
      <c r="F4" s="5447"/>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47"/>
      <c r="H6" s="947"/>
      <c r="I6" s="947" t="s">
        <v>149</v>
      </c>
      <c r="J6" s="947"/>
      <c r="X6" s="443">
        <v>1</v>
      </c>
    </row>
    <row r="7" spans="1:24" ht="11.45" customHeight="1">
      <c r="D7" s="649"/>
      <c r="E7" s="5559" t="s">
        <v>141</v>
      </c>
      <c r="F7" s="5560"/>
      <c r="G7" s="5579" t="str">
        <f>IF(G6="","",INDEX(DIFFERENTIATION_UNMERGE_VD,MATCH(G6,DIFFERENTIATION_ID_DIFF,0)))</f>
        <v/>
      </c>
      <c r="H7" s="5580"/>
      <c r="I7" s="5579">
        <f>IF(I6="","",INDEX(DIFFERENTIATION_UNMERGE_VD,MATCH(I6,DIFFERENTIATION_ID_DIFF,0)))</f>
        <v>0</v>
      </c>
      <c r="J7" s="5580"/>
      <c r="K7" s="5403"/>
      <c r="L7" s="447"/>
      <c r="X7" s="443">
        <v>11</v>
      </c>
    </row>
    <row r="8" spans="1:24" ht="11.45" customHeight="1">
      <c r="A8" s="642"/>
      <c r="D8" s="649"/>
      <c r="E8" s="5559" t="s">
        <v>656</v>
      </c>
      <c r="F8" s="5560"/>
      <c r="G8" s="5579" t="str">
        <f>IF(G6="","",INDEX(DIFFERENTIATION_UNMERGE_AREA,MATCH(G6,DIFFERENTIATION_ID_DIFF,0)))</f>
        <v/>
      </c>
      <c r="H8" s="5580"/>
      <c r="I8" s="5579" t="str">
        <f>IF(I6="","",INDEX(DIFFERENTIATION_UNMERGE_AREA,MATCH(I6,DIFFERENTIATION_ID_DIFF,0)))</f>
        <v/>
      </c>
      <c r="J8" s="5580"/>
      <c r="K8" s="5408"/>
      <c r="L8" s="447"/>
      <c r="X8" s="443">
        <v>11</v>
      </c>
    </row>
    <row r="9" spans="1:24" ht="11.45" customHeight="1">
      <c r="A9" s="642"/>
      <c r="D9" s="649"/>
      <c r="E9" s="5559" t="s">
        <v>657</v>
      </c>
      <c r="F9" s="5560"/>
      <c r="G9" s="5579" t="str">
        <f>IF(G6="","",INDEX(DIFFERENTIATION_UNMERGE_SYSTEM,MATCH(G6,DIFFERENTIATION_ID_DIFF,0)))</f>
        <v/>
      </c>
      <c r="H9" s="5580"/>
      <c r="I9" s="5579" t="str">
        <f>IF(I6="","",INDEX(DIFFERENTIATION_UNMERGE_SYSTEM,MATCH(I6,DIFFERENTIATION_ID_DIFF,0)))</f>
        <v>без дифференциации</v>
      </c>
      <c r="J9" s="5580"/>
      <c r="K9" s="5408"/>
      <c r="L9" s="447"/>
      <c r="X9" s="443">
        <v>11</v>
      </c>
    </row>
    <row r="10" spans="1:24" s="4267" customFormat="1" ht="11.45" customHeight="1">
      <c r="A10" s="946"/>
      <c r="B10" s="449"/>
      <c r="D10" s="5309" t="s">
        <v>393</v>
      </c>
      <c r="E10" s="5314"/>
      <c r="F10" s="5314"/>
      <c r="G10" s="5314"/>
      <c r="H10" s="5314"/>
      <c r="I10" s="5314"/>
      <c r="J10" s="5308"/>
      <c r="K10" s="5408"/>
      <c r="L10" s="447"/>
      <c r="X10" s="694">
        <v>11</v>
      </c>
    </row>
    <row r="11" spans="1:24" s="4267" customFormat="1" ht="24" customHeight="1">
      <c r="A11" s="5468"/>
      <c r="B11" s="5468"/>
      <c r="C11" s="595"/>
      <c r="D11" s="641" t="s">
        <v>88</v>
      </c>
      <c r="E11" s="643" t="s">
        <v>898</v>
      </c>
      <c r="F11" s="643" t="s">
        <v>658</v>
      </c>
      <c r="G11" s="403" t="s">
        <v>396</v>
      </c>
      <c r="H11" s="403" t="s">
        <v>483</v>
      </c>
      <c r="I11" s="739" t="s">
        <v>396</v>
      </c>
      <c r="J11" s="740" t="s">
        <v>483</v>
      </c>
      <c r="K11" s="5455"/>
      <c r="L11" s="596"/>
      <c r="X11" s="447">
        <v>23</v>
      </c>
    </row>
    <row r="12" spans="1:24" s="4275" customFormat="1" ht="10.5" customHeight="1">
      <c r="A12" s="879"/>
      <c r="D12" s="950" t="s">
        <v>136</v>
      </c>
      <c r="E12" s="950" t="s">
        <v>103</v>
      </c>
      <c r="F12" s="950" t="s">
        <v>90</v>
      </c>
      <c r="G12" s="951" t="str">
        <f>G1&amp;".1"</f>
        <v>4.1</v>
      </c>
      <c r="H12" s="951" t="str">
        <f>G1&amp;".2"</f>
        <v>4.2</v>
      </c>
      <c r="I12" s="951" t="str">
        <f>I1&amp;".1"</f>
        <v>4.1</v>
      </c>
      <c r="J12" s="951" t="str">
        <f>I1&amp;".2"</f>
        <v>4.2</v>
      </c>
      <c r="K12" s="951"/>
      <c r="X12" s="449">
        <v>10</v>
      </c>
    </row>
    <row r="13" spans="1:24" ht="22.5" hidden="1" customHeight="1">
      <c r="A13" s="5581" t="s">
        <v>899</v>
      </c>
      <c r="D13" s="880" t="s">
        <v>136</v>
      </c>
      <c r="E13" s="217" t="s">
        <v>900</v>
      </c>
      <c r="F13" s="598" t="s">
        <v>901</v>
      </c>
      <c r="G13" s="495"/>
      <c r="H13" s="599"/>
      <c r="I13" s="495"/>
      <c r="J13" s="599"/>
      <c r="K13" s="227" t="s">
        <v>902</v>
      </c>
      <c r="L13" s="658"/>
      <c r="X13" s="443">
        <v>0</v>
      </c>
    </row>
    <row r="14" spans="1:24" ht="22.5" hidden="1" customHeight="1">
      <c r="A14" s="5581"/>
      <c r="D14" s="477" t="s">
        <v>103</v>
      </c>
      <c r="E14" s="217" t="s">
        <v>903</v>
      </c>
      <c r="F14" s="598" t="s">
        <v>904</v>
      </c>
      <c r="G14" s="495"/>
      <c r="H14" s="600"/>
      <c r="I14" s="495"/>
      <c r="J14" s="600"/>
      <c r="K14" s="227" t="s">
        <v>905</v>
      </c>
      <c r="L14" s="658"/>
      <c r="X14" s="443">
        <v>0</v>
      </c>
    </row>
    <row r="15" spans="1:24" s="4267" customFormat="1" ht="78.75" hidden="1" customHeight="1">
      <c r="A15" s="5581"/>
      <c r="B15" s="449"/>
      <c r="D15" s="880" t="s">
        <v>90</v>
      </c>
      <c r="E15" s="645" t="s">
        <v>906</v>
      </c>
      <c r="F15" s="877" t="s">
        <v>399</v>
      </c>
      <c r="G15" s="877" t="s">
        <v>399</v>
      </c>
      <c r="H15" s="47"/>
      <c r="I15" s="877" t="s">
        <v>399</v>
      </c>
      <c r="J15" s="47"/>
      <c r="K15" s="227" t="s">
        <v>907</v>
      </c>
      <c r="L15" s="658"/>
      <c r="X15" s="694">
        <v>0</v>
      </c>
    </row>
    <row r="16" spans="1:24" s="4267" customFormat="1" ht="22.5" hidden="1" customHeight="1">
      <c r="A16" s="5581"/>
      <c r="B16" s="449"/>
      <c r="D16" s="880" t="s">
        <v>417</v>
      </c>
      <c r="E16" s="881" t="s">
        <v>908</v>
      </c>
      <c r="F16" s="877" t="s">
        <v>909</v>
      </c>
      <c r="G16" s="749"/>
      <c r="H16" s="47"/>
      <c r="I16" s="749"/>
      <c r="J16" s="47"/>
      <c r="K16" s="227"/>
      <c r="L16" s="658"/>
      <c r="X16" s="694">
        <v>0</v>
      </c>
    </row>
    <row r="17" spans="1:24" s="4267" customFormat="1" ht="22.5" hidden="1" customHeight="1">
      <c r="A17" s="5581"/>
      <c r="B17" s="449"/>
      <c r="D17" s="880" t="s">
        <v>425</v>
      </c>
      <c r="E17" s="881" t="s">
        <v>910</v>
      </c>
      <c r="F17" s="877" t="s">
        <v>911</v>
      </c>
      <c r="G17" s="749"/>
      <c r="H17" s="47"/>
      <c r="I17" s="749"/>
      <c r="J17" s="47"/>
      <c r="K17" s="227"/>
      <c r="L17" s="658"/>
      <c r="X17" s="694">
        <v>0</v>
      </c>
    </row>
    <row r="18" spans="1:24" s="4267" customFormat="1" ht="33.75" hidden="1" customHeight="1">
      <c r="A18" s="5581"/>
      <c r="B18" s="449"/>
      <c r="D18" s="880" t="s">
        <v>427</v>
      </c>
      <c r="E18" s="881" t="s">
        <v>912</v>
      </c>
      <c r="F18" s="877" t="s">
        <v>663</v>
      </c>
      <c r="G18" s="618"/>
      <c r="H18" s="47"/>
      <c r="I18" s="618"/>
      <c r="J18" s="47"/>
      <c r="K18" s="227"/>
      <c r="L18" s="658"/>
      <c r="X18" s="694">
        <v>0</v>
      </c>
    </row>
    <row r="19" spans="1:24" ht="101.25" hidden="1" customHeight="1">
      <c r="A19" s="5581"/>
      <c r="D19" s="880" t="s">
        <v>91</v>
      </c>
      <c r="E19" s="217" t="s">
        <v>913</v>
      </c>
      <c r="F19" s="598" t="s">
        <v>638</v>
      </c>
      <c r="G19" s="601"/>
      <c r="H19" s="600"/>
      <c r="I19" s="882"/>
      <c r="J19" s="600"/>
      <c r="K19" s="227" t="s">
        <v>914</v>
      </c>
      <c r="L19" s="658"/>
      <c r="X19" s="443">
        <v>0</v>
      </c>
    </row>
    <row r="20" spans="1:24" s="4267" customFormat="1" ht="18.75" hidden="1" customHeight="1">
      <c r="A20" s="5581"/>
      <c r="C20" s="883"/>
      <c r="D20" s="880" t="s">
        <v>845</v>
      </c>
      <c r="E20" s="881" t="s">
        <v>915</v>
      </c>
      <c r="F20" s="877" t="s">
        <v>399</v>
      </c>
      <c r="G20" s="877" t="s">
        <v>399</v>
      </c>
      <c r="H20" s="876" t="s">
        <v>399</v>
      </c>
      <c r="I20" s="877" t="s">
        <v>399</v>
      </c>
      <c r="J20" s="876" t="s">
        <v>399</v>
      </c>
      <c r="K20" s="875"/>
      <c r="L20" s="658"/>
      <c r="W20" s="613"/>
      <c r="X20" s="694">
        <v>0</v>
      </c>
    </row>
    <row r="21" spans="1:24" s="4267" customFormat="1" ht="33.75" hidden="1" customHeight="1">
      <c r="A21" s="5581"/>
      <c r="C21" s="883"/>
      <c r="D21" s="880" t="s">
        <v>848</v>
      </c>
      <c r="E21" s="514" t="s">
        <v>916</v>
      </c>
      <c r="F21" s="877" t="s">
        <v>917</v>
      </c>
      <c r="G21" s="618"/>
      <c r="H21" s="47"/>
      <c r="I21" s="618"/>
      <c r="J21" s="47"/>
      <c r="K21" s="875"/>
      <c r="L21" s="658"/>
      <c r="W21" s="613"/>
      <c r="X21" s="694">
        <v>0</v>
      </c>
    </row>
    <row r="22" spans="1:24" s="4267" customFormat="1" ht="33.75" hidden="1" customHeight="1">
      <c r="A22" s="5581"/>
      <c r="C22" s="883"/>
      <c r="D22" s="880" t="s">
        <v>851</v>
      </c>
      <c r="E22" s="514" t="s">
        <v>918</v>
      </c>
      <c r="F22" s="877" t="s">
        <v>919</v>
      </c>
      <c r="G22" s="618"/>
      <c r="H22" s="47"/>
      <c r="I22" s="618"/>
      <c r="J22" s="47"/>
      <c r="K22" s="875"/>
      <c r="L22" s="658"/>
      <c r="W22" s="613"/>
      <c r="X22" s="694">
        <v>0</v>
      </c>
    </row>
    <row r="23" spans="1:24" s="4267" customFormat="1" ht="22.5" hidden="1" customHeight="1">
      <c r="A23" s="5581"/>
      <c r="C23" s="883"/>
      <c r="D23" s="880" t="s">
        <v>887</v>
      </c>
      <c r="E23" s="881" t="s">
        <v>920</v>
      </c>
      <c r="F23" s="877" t="s">
        <v>399</v>
      </c>
      <c r="G23" s="877" t="s">
        <v>399</v>
      </c>
      <c r="H23" s="876" t="s">
        <v>399</v>
      </c>
      <c r="I23" s="877" t="s">
        <v>399</v>
      </c>
      <c r="J23" s="876" t="s">
        <v>399</v>
      </c>
      <c r="K23" s="875"/>
      <c r="L23" s="658"/>
      <c r="W23" s="613"/>
      <c r="X23" s="694">
        <v>0</v>
      </c>
    </row>
    <row r="24" spans="1:24" s="4267" customFormat="1" ht="22.5" hidden="1" customHeight="1">
      <c r="A24" s="5581"/>
      <c r="C24" s="883"/>
      <c r="D24" s="880" t="s">
        <v>921</v>
      </c>
      <c r="E24" s="514" t="s">
        <v>922</v>
      </c>
      <c r="F24" s="877" t="s">
        <v>923</v>
      </c>
      <c r="G24" s="618"/>
      <c r="H24" s="624"/>
      <c r="I24" s="618"/>
      <c r="J24" s="624"/>
      <c r="K24" s="875"/>
      <c r="L24" s="658"/>
      <c r="W24" s="613"/>
      <c r="X24" s="694">
        <v>0</v>
      </c>
    </row>
    <row r="25" spans="1:24" s="4267" customFormat="1" ht="22.5" hidden="1" customHeight="1">
      <c r="A25" s="5581"/>
      <c r="C25" s="883"/>
      <c r="D25" s="880" t="s">
        <v>924</v>
      </c>
      <c r="E25" s="514" t="s">
        <v>925</v>
      </c>
      <c r="F25" s="877" t="s">
        <v>399</v>
      </c>
      <c r="G25" s="877" t="s">
        <v>399</v>
      </c>
      <c r="H25" s="876" t="s">
        <v>399</v>
      </c>
      <c r="I25" s="877" t="s">
        <v>399</v>
      </c>
      <c r="J25" s="876" t="s">
        <v>399</v>
      </c>
      <c r="K25" s="875"/>
      <c r="L25" s="658"/>
      <c r="W25" s="613"/>
      <c r="X25" s="694">
        <v>0</v>
      </c>
    </row>
    <row r="26" spans="1:24" s="4267" customFormat="1" ht="18.75" hidden="1" customHeight="1">
      <c r="A26" s="5581"/>
      <c r="C26" s="883"/>
      <c r="D26" s="880" t="s">
        <v>926</v>
      </c>
      <c r="E26" s="491" t="s">
        <v>927</v>
      </c>
      <c r="F26" s="877" t="s">
        <v>928</v>
      </c>
      <c r="G26" s="618"/>
      <c r="H26" s="624"/>
      <c r="I26" s="618"/>
      <c r="J26" s="624"/>
      <c r="K26" s="875"/>
      <c r="L26" s="658"/>
      <c r="W26" s="613"/>
      <c r="X26" s="694">
        <v>0</v>
      </c>
    </row>
    <row r="27" spans="1:24" s="4267" customFormat="1" ht="18.75" hidden="1" customHeight="1">
      <c r="A27" s="5581"/>
      <c r="C27" s="883"/>
      <c r="D27" s="880" t="s">
        <v>929</v>
      </c>
      <c r="E27" s="491" t="s">
        <v>930</v>
      </c>
      <c r="F27" s="877" t="s">
        <v>931</v>
      </c>
      <c r="G27" s="618"/>
      <c r="H27" s="624"/>
      <c r="I27" s="618"/>
      <c r="J27" s="624"/>
      <c r="K27" s="875"/>
      <c r="L27" s="658"/>
      <c r="W27" s="613"/>
      <c r="X27" s="694">
        <v>0</v>
      </c>
    </row>
    <row r="28" spans="1:24" s="4267" customFormat="1" ht="18.75" hidden="1" customHeight="1">
      <c r="A28" s="5581"/>
      <c r="C28" s="883"/>
      <c r="D28" s="880" t="s">
        <v>932</v>
      </c>
      <c r="E28" s="514" t="s">
        <v>933</v>
      </c>
      <c r="F28" s="877" t="s">
        <v>399</v>
      </c>
      <c r="G28" s="877" t="s">
        <v>399</v>
      </c>
      <c r="H28" s="876" t="s">
        <v>399</v>
      </c>
      <c r="I28" s="877" t="s">
        <v>399</v>
      </c>
      <c r="J28" s="876" t="s">
        <v>399</v>
      </c>
      <c r="K28" s="875"/>
      <c r="L28" s="658"/>
      <c r="W28" s="613"/>
      <c r="X28" s="694">
        <v>0</v>
      </c>
    </row>
    <row r="29" spans="1:24" s="4267" customFormat="1" ht="18.75" hidden="1" customHeight="1">
      <c r="A29" s="5581"/>
      <c r="C29" s="883"/>
      <c r="D29" s="880" t="s">
        <v>934</v>
      </c>
      <c r="E29" s="491" t="s">
        <v>927</v>
      </c>
      <c r="F29" s="877" t="s">
        <v>935</v>
      </c>
      <c r="G29" s="618"/>
      <c r="H29" s="624"/>
      <c r="I29" s="618"/>
      <c r="J29" s="624"/>
      <c r="K29" s="875"/>
      <c r="L29" s="658"/>
      <c r="W29" s="613"/>
      <c r="X29" s="694">
        <v>0</v>
      </c>
    </row>
    <row r="30" spans="1:24" s="4267" customFormat="1" ht="18.75" hidden="1" customHeight="1">
      <c r="A30" s="5581"/>
      <c r="C30" s="883"/>
      <c r="D30" s="880" t="s">
        <v>936</v>
      </c>
      <c r="E30" s="491" t="s">
        <v>937</v>
      </c>
      <c r="F30" s="877" t="s">
        <v>938</v>
      </c>
      <c r="G30" s="618"/>
      <c r="H30" s="624"/>
      <c r="I30" s="618"/>
      <c r="J30" s="624"/>
      <c r="K30" s="875"/>
      <c r="L30" s="658"/>
      <c r="W30" s="613"/>
      <c r="X30" s="694">
        <v>0</v>
      </c>
    </row>
    <row r="31" spans="1:24" ht="126.75" hidden="1" customHeight="1">
      <c r="A31" s="5581"/>
      <c r="D31" s="880" t="s">
        <v>116</v>
      </c>
      <c r="E31" s="217" t="s">
        <v>939</v>
      </c>
      <c r="F31" s="598" t="s">
        <v>650</v>
      </c>
      <c r="G31" s="495"/>
      <c r="H31" s="600"/>
      <c r="I31" s="495"/>
      <c r="J31" s="600"/>
      <c r="K31" s="227" t="s">
        <v>940</v>
      </c>
      <c r="L31" s="658"/>
      <c r="X31" s="443">
        <v>0</v>
      </c>
    </row>
    <row r="32" spans="1:24" ht="56.25" hidden="1" customHeight="1">
      <c r="A32" s="5581"/>
      <c r="D32" s="880" t="s">
        <v>92</v>
      </c>
      <c r="E32" s="217" t="s">
        <v>941</v>
      </c>
      <c r="F32" s="477" t="s">
        <v>911</v>
      </c>
      <c r="G32" s="495"/>
      <c r="H32" s="600"/>
      <c r="I32" s="495"/>
      <c r="J32" s="600"/>
      <c r="K32" s="227" t="s">
        <v>942</v>
      </c>
      <c r="L32" s="658"/>
      <c r="X32" s="443">
        <v>0</v>
      </c>
    </row>
    <row r="33" spans="1:24" ht="11.25" hidden="1" customHeight="1">
      <c r="A33" s="5581"/>
      <c r="E33" s="602"/>
      <c r="F33" s="119"/>
      <c r="G33" s="119"/>
      <c r="H33" s="119"/>
      <c r="I33" s="119"/>
      <c r="J33" s="119"/>
      <c r="K33" s="119"/>
      <c r="X33" s="443">
        <v>0</v>
      </c>
    </row>
    <row r="34" spans="1:24" ht="12.75" hidden="1" customHeight="1">
      <c r="A34" s="5581"/>
      <c r="D34" s="6">
        <v>1</v>
      </c>
      <c r="E34" s="273" t="s">
        <v>943</v>
      </c>
      <c r="X34" s="443">
        <v>0</v>
      </c>
    </row>
    <row r="35" spans="1:24" ht="11.25" hidden="1" customHeight="1">
      <c r="A35" s="5581"/>
      <c r="D35" s="307"/>
      <c r="E35" s="273" t="s">
        <v>944</v>
      </c>
      <c r="X35" s="443">
        <v>0</v>
      </c>
    </row>
    <row r="36" spans="1:24" s="4267" customFormat="1" ht="11.45" customHeight="1">
      <c r="A36" s="958"/>
      <c r="B36" s="456"/>
      <c r="D36" s="959"/>
      <c r="E36" s="960"/>
      <c r="X36" s="447">
        <v>11</v>
      </c>
    </row>
    <row r="37" spans="1:24" s="4267" customFormat="1" ht="22.5" hidden="1" customHeight="1">
      <c r="A37" s="5581" t="s">
        <v>945</v>
      </c>
      <c r="B37" s="449"/>
      <c r="D37" s="880">
        <v>1</v>
      </c>
      <c r="E37" s="645" t="s">
        <v>946</v>
      </c>
      <c r="F37" s="598" t="s">
        <v>901</v>
      </c>
      <c r="G37" s="495"/>
      <c r="H37" s="457"/>
      <c r="I37" s="495"/>
      <c r="J37" s="457"/>
      <c r="K37" s="227" t="s">
        <v>947</v>
      </c>
      <c r="X37" s="694">
        <v>0</v>
      </c>
    </row>
    <row r="38" spans="1:24" s="4267" customFormat="1" ht="22.5" hidden="1" customHeight="1">
      <c r="A38" s="5581"/>
      <c r="B38" s="449"/>
      <c r="D38" s="607" t="s">
        <v>103</v>
      </c>
      <c r="E38" s="957" t="s">
        <v>948</v>
      </c>
      <c r="F38" s="961" t="s">
        <v>638</v>
      </c>
      <c r="G38" s="961" t="s">
        <v>638</v>
      </c>
      <c r="H38" s="955"/>
      <c r="I38" s="961" t="s">
        <v>638</v>
      </c>
      <c r="J38" s="955"/>
      <c r="K38" s="956"/>
      <c r="X38" s="694">
        <v>0</v>
      </c>
    </row>
    <row r="39" spans="1:24" s="4267" customFormat="1" ht="33.75" hidden="1" customHeight="1">
      <c r="A39" s="5581"/>
      <c r="B39" s="449"/>
      <c r="D39" s="603" t="s">
        <v>803</v>
      </c>
      <c r="E39" s="661" t="s">
        <v>949</v>
      </c>
      <c r="F39" s="598" t="s">
        <v>950</v>
      </c>
      <c r="G39" s="606"/>
      <c r="H39" s="948"/>
      <c r="I39" s="606"/>
      <c r="J39" s="948"/>
      <c r="K39" s="227" t="s">
        <v>951</v>
      </c>
      <c r="X39" s="694">
        <v>0</v>
      </c>
    </row>
    <row r="40" spans="1:24" s="4267" customFormat="1" ht="33.75" hidden="1" customHeight="1">
      <c r="A40" s="5581"/>
      <c r="B40" s="449"/>
      <c r="D40" s="603" t="s">
        <v>806</v>
      </c>
      <c r="E40" s="661" t="s">
        <v>952</v>
      </c>
      <c r="F40" s="952" t="s">
        <v>953</v>
      </c>
      <c r="G40" s="679"/>
      <c r="H40" s="948"/>
      <c r="I40" s="679"/>
      <c r="J40" s="948"/>
      <c r="K40" s="227" t="s">
        <v>954</v>
      </c>
      <c r="X40" s="694">
        <v>0</v>
      </c>
    </row>
    <row r="41" spans="1:24" s="4267" customFormat="1" ht="22.5" hidden="1" customHeight="1">
      <c r="A41" s="5581"/>
      <c r="B41" s="449"/>
      <c r="D41" s="603" t="s">
        <v>90</v>
      </c>
      <c r="E41" s="660" t="s">
        <v>955</v>
      </c>
      <c r="F41" s="598" t="s">
        <v>638</v>
      </c>
      <c r="G41" s="598" t="s">
        <v>638</v>
      </c>
      <c r="H41" s="949"/>
      <c r="I41" s="598" t="s">
        <v>638</v>
      </c>
      <c r="J41" s="949"/>
      <c r="K41" s="240"/>
      <c r="X41" s="694">
        <v>0</v>
      </c>
    </row>
    <row r="42" spans="1:24" s="4267" customFormat="1" ht="45" hidden="1" customHeight="1">
      <c r="A42" s="5581"/>
      <c r="B42" s="449"/>
      <c r="D42" s="603" t="s">
        <v>417</v>
      </c>
      <c r="E42" s="661" t="s">
        <v>956</v>
      </c>
      <c r="F42" s="598" t="s">
        <v>650</v>
      </c>
      <c r="G42" s="495"/>
      <c r="H42" s="949"/>
      <c r="I42" s="495"/>
      <c r="J42" s="949"/>
      <c r="K42" s="240" t="s">
        <v>957</v>
      </c>
      <c r="X42" s="694">
        <v>0</v>
      </c>
    </row>
    <row r="43" spans="1:24" s="4267" customFormat="1" ht="45" hidden="1" customHeight="1">
      <c r="A43" s="5581"/>
      <c r="B43" s="449"/>
      <c r="D43" s="603" t="s">
        <v>425</v>
      </c>
      <c r="E43" s="605" t="s">
        <v>958</v>
      </c>
      <c r="F43" s="953" t="s">
        <v>650</v>
      </c>
      <c r="G43" s="680"/>
      <c r="H43" s="948"/>
      <c r="I43" s="680"/>
      <c r="J43" s="948"/>
      <c r="K43" s="240" t="s">
        <v>959</v>
      </c>
      <c r="X43" s="694">
        <v>0</v>
      </c>
    </row>
    <row r="44" spans="1:24" s="4267" customFormat="1" ht="11.25" hidden="1" customHeight="1">
      <c r="A44" s="5581"/>
      <c r="B44" s="449"/>
      <c r="D44" s="603" t="s">
        <v>91</v>
      </c>
      <c r="E44" s="604" t="s">
        <v>960</v>
      </c>
      <c r="F44" s="598" t="s">
        <v>950</v>
      </c>
      <c r="G44" s="606"/>
      <c r="H44" s="948"/>
      <c r="I44" s="606"/>
      <c r="J44" s="948"/>
      <c r="K44" s="227"/>
      <c r="X44" s="694">
        <v>0</v>
      </c>
    </row>
    <row r="45" spans="1:24" s="4267" customFormat="1" ht="11.25" hidden="1" customHeight="1">
      <c r="A45" s="5581"/>
      <c r="B45" s="449"/>
      <c r="D45" s="603" t="s">
        <v>845</v>
      </c>
      <c r="E45" s="605" t="s">
        <v>961</v>
      </c>
      <c r="F45" s="598" t="s">
        <v>950</v>
      </c>
      <c r="G45" s="606"/>
      <c r="H45" s="948"/>
      <c r="I45" s="606"/>
      <c r="J45" s="948"/>
      <c r="K45" s="227"/>
      <c r="X45" s="694">
        <v>0</v>
      </c>
    </row>
    <row r="46" spans="1:24" s="4267" customFormat="1" ht="11.25" hidden="1" customHeight="1">
      <c r="A46" s="5581"/>
      <c r="B46" s="449"/>
      <c r="D46" s="603" t="s">
        <v>887</v>
      </c>
      <c r="E46" s="605" t="s">
        <v>962</v>
      </c>
      <c r="F46" s="598" t="s">
        <v>950</v>
      </c>
      <c r="G46" s="606"/>
      <c r="H46" s="948"/>
      <c r="I46" s="606"/>
      <c r="J46" s="948"/>
      <c r="K46" s="227"/>
      <c r="X46" s="694">
        <v>0</v>
      </c>
    </row>
    <row r="47" spans="1:24" s="4267" customFormat="1" ht="11.25" hidden="1" customHeight="1">
      <c r="A47" s="5581"/>
      <c r="B47" s="449"/>
      <c r="D47" s="603" t="s">
        <v>890</v>
      </c>
      <c r="E47" s="605" t="s">
        <v>963</v>
      </c>
      <c r="F47" s="598" t="s">
        <v>950</v>
      </c>
      <c r="G47" s="606"/>
      <c r="H47" s="948"/>
      <c r="I47" s="606"/>
      <c r="J47" s="948"/>
      <c r="K47" s="227"/>
      <c r="X47" s="694">
        <v>0</v>
      </c>
    </row>
    <row r="48" spans="1:24" s="4267" customFormat="1" ht="11.25" hidden="1" customHeight="1">
      <c r="A48" s="5581"/>
      <c r="B48" s="449"/>
      <c r="D48" s="603" t="s">
        <v>964</v>
      </c>
      <c r="E48" s="609" t="s">
        <v>965</v>
      </c>
      <c r="F48" s="598" t="s">
        <v>950</v>
      </c>
      <c r="G48" s="606"/>
      <c r="H48" s="948"/>
      <c r="I48" s="606"/>
      <c r="J48" s="948"/>
      <c r="K48" s="227"/>
      <c r="X48" s="694">
        <v>0</v>
      </c>
    </row>
    <row r="49" spans="1:24" s="4267" customFormat="1" ht="11.25" hidden="1" customHeight="1">
      <c r="A49" s="5581"/>
      <c r="B49" s="449"/>
      <c r="D49" s="603" t="s">
        <v>966</v>
      </c>
      <c r="E49" s="609" t="s">
        <v>967</v>
      </c>
      <c r="F49" s="598" t="s">
        <v>950</v>
      </c>
      <c r="G49" s="606"/>
      <c r="H49" s="948"/>
      <c r="I49" s="606"/>
      <c r="J49" s="948"/>
      <c r="K49" s="227"/>
      <c r="X49" s="694">
        <v>0</v>
      </c>
    </row>
    <row r="50" spans="1:24" s="4267" customFormat="1" ht="11.25" hidden="1" customHeight="1">
      <c r="A50" s="5581"/>
      <c r="B50" s="449"/>
      <c r="D50" s="603" t="s">
        <v>968</v>
      </c>
      <c r="E50" s="605" t="s">
        <v>969</v>
      </c>
      <c r="F50" s="598" t="s">
        <v>950</v>
      </c>
      <c r="G50" s="606"/>
      <c r="H50" s="948"/>
      <c r="I50" s="606"/>
      <c r="J50" s="948"/>
      <c r="K50" s="227"/>
      <c r="X50" s="694">
        <v>0</v>
      </c>
    </row>
    <row r="51" spans="1:24" s="4267" customFormat="1" ht="11.25" hidden="1" customHeight="1">
      <c r="A51" s="5581"/>
      <c r="B51" s="449"/>
      <c r="D51" s="603" t="s">
        <v>970</v>
      </c>
      <c r="E51" s="605" t="s">
        <v>971</v>
      </c>
      <c r="F51" s="598" t="s">
        <v>950</v>
      </c>
      <c r="G51" s="606"/>
      <c r="H51" s="948"/>
      <c r="I51" s="606"/>
      <c r="J51" s="948"/>
      <c r="K51" s="227"/>
      <c r="X51" s="694">
        <v>0</v>
      </c>
    </row>
    <row r="52" spans="1:24" s="4267" customFormat="1" ht="45" hidden="1" customHeight="1">
      <c r="A52" s="5581"/>
      <c r="B52" s="449"/>
      <c r="D52" s="603" t="s">
        <v>116</v>
      </c>
      <c r="E52" s="604" t="s">
        <v>972</v>
      </c>
      <c r="F52" s="598" t="s">
        <v>950</v>
      </c>
      <c r="G52" s="606"/>
      <c r="H52" s="948"/>
      <c r="I52" s="606"/>
      <c r="J52" s="948"/>
      <c r="K52" s="227"/>
      <c r="X52" s="694">
        <v>0</v>
      </c>
    </row>
    <row r="53" spans="1:24" s="4267" customFormat="1" ht="11.25" hidden="1" customHeight="1">
      <c r="A53" s="5581"/>
      <c r="B53" s="449"/>
      <c r="D53" s="603" t="s">
        <v>406</v>
      </c>
      <c r="E53" s="605" t="s">
        <v>961</v>
      </c>
      <c r="F53" s="598" t="s">
        <v>950</v>
      </c>
      <c r="G53" s="606"/>
      <c r="H53" s="948"/>
      <c r="I53" s="606"/>
      <c r="J53" s="948"/>
      <c r="K53" s="227"/>
      <c r="X53" s="694">
        <v>0</v>
      </c>
    </row>
    <row r="54" spans="1:24" s="4267" customFormat="1" ht="11.25" hidden="1" customHeight="1">
      <c r="A54" s="5581"/>
      <c r="B54" s="449"/>
      <c r="D54" s="603" t="s">
        <v>973</v>
      </c>
      <c r="E54" s="605" t="s">
        <v>962</v>
      </c>
      <c r="F54" s="598" t="s">
        <v>950</v>
      </c>
      <c r="G54" s="606"/>
      <c r="H54" s="948"/>
      <c r="I54" s="606"/>
      <c r="J54" s="948"/>
      <c r="K54" s="227"/>
      <c r="X54" s="694">
        <v>0</v>
      </c>
    </row>
    <row r="55" spans="1:24" s="4267" customFormat="1" ht="11.25" hidden="1" customHeight="1">
      <c r="A55" s="5581"/>
      <c r="B55" s="449"/>
      <c r="D55" s="603" t="s">
        <v>974</v>
      </c>
      <c r="E55" s="605" t="s">
        <v>963</v>
      </c>
      <c r="F55" s="598" t="s">
        <v>950</v>
      </c>
      <c r="G55" s="606"/>
      <c r="H55" s="948"/>
      <c r="I55" s="606"/>
      <c r="J55" s="948"/>
      <c r="K55" s="227"/>
      <c r="X55" s="694">
        <v>0</v>
      </c>
    </row>
    <row r="56" spans="1:24" s="4267" customFormat="1" ht="11.25" hidden="1" customHeight="1">
      <c r="A56" s="5581"/>
      <c r="B56" s="449"/>
      <c r="D56" s="603" t="s">
        <v>975</v>
      </c>
      <c r="E56" s="609" t="s">
        <v>965</v>
      </c>
      <c r="F56" s="598" t="s">
        <v>950</v>
      </c>
      <c r="G56" s="606"/>
      <c r="H56" s="948"/>
      <c r="I56" s="606"/>
      <c r="J56" s="948"/>
      <c r="K56" s="227"/>
      <c r="X56" s="694">
        <v>0</v>
      </c>
    </row>
    <row r="57" spans="1:24" s="4267" customFormat="1" ht="11.25" hidden="1" customHeight="1">
      <c r="A57" s="5581"/>
      <c r="B57" s="449"/>
      <c r="D57" s="603" t="s">
        <v>976</v>
      </c>
      <c r="E57" s="609" t="s">
        <v>967</v>
      </c>
      <c r="F57" s="598" t="s">
        <v>950</v>
      </c>
      <c r="G57" s="606"/>
      <c r="H57" s="948"/>
      <c r="I57" s="606"/>
      <c r="J57" s="948"/>
      <c r="K57" s="227"/>
      <c r="X57" s="694">
        <v>0</v>
      </c>
    </row>
    <row r="58" spans="1:24" s="4267" customFormat="1" ht="11.25" hidden="1" customHeight="1">
      <c r="A58" s="5581"/>
      <c r="B58" s="449"/>
      <c r="D58" s="603" t="s">
        <v>977</v>
      </c>
      <c r="E58" s="605" t="s">
        <v>969</v>
      </c>
      <c r="F58" s="598" t="s">
        <v>950</v>
      </c>
      <c r="G58" s="606"/>
      <c r="H58" s="948"/>
      <c r="I58" s="606"/>
      <c r="J58" s="948"/>
      <c r="K58" s="227"/>
      <c r="X58" s="694">
        <v>0</v>
      </c>
    </row>
    <row r="59" spans="1:24" s="4267" customFormat="1" ht="11.25" hidden="1" customHeight="1">
      <c r="A59" s="5581"/>
      <c r="B59" s="449"/>
      <c r="D59" s="603" t="s">
        <v>978</v>
      </c>
      <c r="E59" s="605" t="s">
        <v>971</v>
      </c>
      <c r="F59" s="598" t="s">
        <v>950</v>
      </c>
      <c r="G59" s="606"/>
      <c r="H59" s="948"/>
      <c r="I59" s="606"/>
      <c r="J59" s="948"/>
      <c r="K59" s="227"/>
      <c r="X59" s="694">
        <v>0</v>
      </c>
    </row>
    <row r="60" spans="1:24" s="4267" customFormat="1" ht="33.75" hidden="1" customHeight="1">
      <c r="A60" s="5581"/>
      <c r="B60" s="449"/>
      <c r="D60" s="603" t="s">
        <v>92</v>
      </c>
      <c r="E60" s="604" t="s">
        <v>979</v>
      </c>
      <c r="F60" s="659" t="s">
        <v>650</v>
      </c>
      <c r="G60" s="680"/>
      <c r="H60" s="948"/>
      <c r="I60" s="680"/>
      <c r="J60" s="948"/>
      <c r="K60" s="240" t="s">
        <v>980</v>
      </c>
      <c r="X60" s="694">
        <v>0</v>
      </c>
    </row>
    <row r="61" spans="1:24" s="4267" customFormat="1" ht="33.75" hidden="1" customHeight="1">
      <c r="A61" s="5581"/>
      <c r="B61" s="449"/>
      <c r="D61" s="603" t="s">
        <v>93</v>
      </c>
      <c r="E61" s="604" t="s">
        <v>981</v>
      </c>
      <c r="F61" s="664" t="s">
        <v>911</v>
      </c>
      <c r="G61" s="606"/>
      <c r="H61" s="948"/>
      <c r="I61" s="606"/>
      <c r="J61" s="948"/>
      <c r="K61" s="227"/>
      <c r="X61" s="694">
        <v>0</v>
      </c>
    </row>
    <row r="62" spans="1:24" s="4267" customFormat="1" ht="22.5" hidden="1" customHeight="1">
      <c r="A62" s="5581"/>
      <c r="B62" s="449" t="s">
        <v>680</v>
      </c>
      <c r="D62" s="603" t="s">
        <v>129</v>
      </c>
      <c r="E62" s="604" t="s">
        <v>982</v>
      </c>
      <c r="F62" s="664" t="s">
        <v>399</v>
      </c>
      <c r="G62" s="320"/>
      <c r="H62" s="948"/>
      <c r="I62" s="320"/>
      <c r="J62" s="948"/>
      <c r="K62" s="227" t="s">
        <v>723</v>
      </c>
      <c r="X62" s="694">
        <v>0</v>
      </c>
    </row>
    <row r="63" spans="1:24" s="4267" customFormat="1" ht="45" hidden="1" customHeight="1">
      <c r="A63" s="5581"/>
      <c r="B63" s="449" t="s">
        <v>680</v>
      </c>
      <c r="D63" s="603" t="s">
        <v>983</v>
      </c>
      <c r="E63" s="605" t="s">
        <v>984</v>
      </c>
      <c r="F63" s="659" t="s">
        <v>399</v>
      </c>
      <c r="G63" s="320"/>
      <c r="H63" s="948"/>
      <c r="I63" s="320"/>
      <c r="J63" s="948"/>
      <c r="K63" s="227" t="s">
        <v>723</v>
      </c>
      <c r="X63" s="694">
        <v>0</v>
      </c>
    </row>
    <row r="64" spans="1:24" s="4267" customFormat="1" ht="11.45" customHeight="1">
      <c r="A64" s="958"/>
      <c r="B64" s="456"/>
      <c r="D64" s="959"/>
      <c r="E64" s="960"/>
      <c r="X64" s="447">
        <v>11</v>
      </c>
    </row>
    <row r="65" spans="1:24" s="4267" customFormat="1" ht="22.5" hidden="1" customHeight="1">
      <c r="A65" s="5581" t="s">
        <v>985</v>
      </c>
      <c r="B65" s="449"/>
      <c r="D65" s="603">
        <v>1</v>
      </c>
      <c r="E65" s="682" t="s">
        <v>986</v>
      </c>
      <c r="F65" s="678" t="s">
        <v>901</v>
      </c>
      <c r="G65" s="679"/>
      <c r="H65" s="954"/>
      <c r="I65" s="679"/>
      <c r="J65" s="954"/>
      <c r="K65" s="239" t="s">
        <v>987</v>
      </c>
      <c r="X65" s="694">
        <v>0</v>
      </c>
    </row>
    <row r="66" spans="1:24" s="4267" customFormat="1" ht="56.25" hidden="1" customHeight="1">
      <c r="A66" s="5581"/>
      <c r="B66" s="449"/>
      <c r="D66" s="681" t="s">
        <v>103</v>
      </c>
      <c r="E66" s="645" t="s">
        <v>988</v>
      </c>
      <c r="F66" s="598" t="s">
        <v>638</v>
      </c>
      <c r="G66" s="598" t="s">
        <v>638</v>
      </c>
      <c r="H66" s="457"/>
      <c r="I66" s="598" t="s">
        <v>638</v>
      </c>
      <c r="J66" s="457"/>
      <c r="K66" s="227"/>
      <c r="X66" s="694">
        <v>0</v>
      </c>
    </row>
    <row r="67" spans="1:24" s="4267" customFormat="1" ht="33.75" hidden="1" customHeight="1">
      <c r="A67" s="5581"/>
      <c r="B67" s="449"/>
      <c r="D67" s="681" t="s">
        <v>800</v>
      </c>
      <c r="E67" s="881" t="s">
        <v>989</v>
      </c>
      <c r="F67" s="598" t="s">
        <v>953</v>
      </c>
      <c r="G67" s="665"/>
      <c r="H67" s="457"/>
      <c r="I67" s="665"/>
      <c r="J67" s="457"/>
      <c r="K67" s="227"/>
      <c r="X67" s="694">
        <v>0</v>
      </c>
    </row>
    <row r="68" spans="1:24" s="4267" customFormat="1" ht="22.5" hidden="1" customHeight="1">
      <c r="A68" s="5581"/>
      <c r="B68" s="449"/>
      <c r="D68" s="681" t="s">
        <v>400</v>
      </c>
      <c r="E68" s="881" t="s">
        <v>990</v>
      </c>
      <c r="F68" s="598" t="s">
        <v>953</v>
      </c>
      <c r="G68" s="665"/>
      <c r="H68" s="457"/>
      <c r="I68" s="665"/>
      <c r="J68" s="457"/>
      <c r="K68" s="227"/>
      <c r="X68" s="694">
        <v>0</v>
      </c>
    </row>
    <row r="69" spans="1:24" s="4267" customFormat="1" ht="22.5" hidden="1" customHeight="1">
      <c r="A69" s="5581"/>
      <c r="B69" s="449"/>
      <c r="D69" s="681" t="s">
        <v>403</v>
      </c>
      <c r="E69" s="881" t="s">
        <v>991</v>
      </c>
      <c r="F69" s="659" t="s">
        <v>650</v>
      </c>
      <c r="G69" s="680"/>
      <c r="H69" s="457"/>
      <c r="I69" s="680"/>
      <c r="J69" s="457"/>
      <c r="K69" s="227"/>
      <c r="X69" s="694">
        <v>0</v>
      </c>
    </row>
    <row r="70" spans="1:24" s="4267" customFormat="1" ht="22.5" hidden="1" customHeight="1">
      <c r="A70" s="5581"/>
      <c r="B70" s="449"/>
      <c r="D70" s="681" t="s">
        <v>820</v>
      </c>
      <c r="E70" s="881" t="s">
        <v>992</v>
      </c>
      <c r="F70" s="659" t="s">
        <v>650</v>
      </c>
      <c r="G70" s="680"/>
      <c r="H70" s="457"/>
      <c r="I70" s="680"/>
      <c r="J70" s="457"/>
      <c r="K70" s="227"/>
      <c r="X70" s="694">
        <v>0</v>
      </c>
    </row>
    <row r="71" spans="1:24" s="4267" customFormat="1" ht="22.5" hidden="1" customHeight="1">
      <c r="A71" s="5581"/>
      <c r="B71" s="449"/>
      <c r="D71" s="603" t="s">
        <v>90</v>
      </c>
      <c r="E71" s="604" t="s">
        <v>993</v>
      </c>
      <c r="F71" s="598" t="s">
        <v>953</v>
      </c>
      <c r="G71" s="495"/>
      <c r="H71" s="955"/>
      <c r="I71" s="495"/>
      <c r="J71" s="955"/>
      <c r="K71" s="240"/>
      <c r="X71" s="694">
        <v>0</v>
      </c>
    </row>
    <row r="72" spans="1:24" s="4267" customFormat="1" ht="56.25" hidden="1" customHeight="1">
      <c r="A72" s="5581"/>
      <c r="B72" s="449"/>
      <c r="D72" s="603" t="s">
        <v>91</v>
      </c>
      <c r="E72" s="604" t="s">
        <v>994</v>
      </c>
      <c r="F72" s="659" t="s">
        <v>650</v>
      </c>
      <c r="G72" s="680"/>
      <c r="H72" s="948"/>
      <c r="I72" s="680"/>
      <c r="J72" s="948"/>
      <c r="K72" s="240"/>
      <c r="X72" s="694">
        <v>0</v>
      </c>
    </row>
    <row r="73" spans="1:24" s="4267" customFormat="1" ht="33.75" hidden="1" customHeight="1">
      <c r="A73" s="5581"/>
      <c r="B73" s="449"/>
      <c r="D73" s="603" t="s">
        <v>116</v>
      </c>
      <c r="E73" s="604" t="s">
        <v>995</v>
      </c>
      <c r="F73" s="664" t="s">
        <v>911</v>
      </c>
      <c r="G73" s="606"/>
      <c r="H73" s="948"/>
      <c r="I73" s="606"/>
      <c r="J73" s="948"/>
      <c r="K73" s="227"/>
      <c r="X73" s="694">
        <v>0</v>
      </c>
    </row>
    <row r="74" spans="1:24" s="4267" customFormat="1" ht="22.5" hidden="1" customHeight="1">
      <c r="A74" s="5581"/>
      <c r="B74" s="449" t="s">
        <v>680</v>
      </c>
      <c r="D74" s="603" t="s">
        <v>92</v>
      </c>
      <c r="E74" s="604" t="s">
        <v>996</v>
      </c>
      <c r="F74" s="664" t="s">
        <v>399</v>
      </c>
      <c r="G74" s="320"/>
      <c r="H74" s="948"/>
      <c r="I74" s="320"/>
      <c r="J74" s="948"/>
      <c r="K74" s="227" t="s">
        <v>723</v>
      </c>
      <c r="X74" s="694">
        <v>0</v>
      </c>
    </row>
    <row r="75" spans="1:24" s="4267" customFormat="1" ht="45" hidden="1" customHeight="1">
      <c r="A75" s="5581"/>
      <c r="B75" s="449" t="s">
        <v>680</v>
      </c>
      <c r="D75" s="603" t="s">
        <v>744</v>
      </c>
      <c r="E75" s="605" t="s">
        <v>997</v>
      </c>
      <c r="F75" s="659" t="s">
        <v>399</v>
      </c>
      <c r="G75" s="320"/>
      <c r="H75" s="948"/>
      <c r="I75" s="320"/>
      <c r="J75" s="948"/>
      <c r="K75" s="227" t="s">
        <v>723</v>
      </c>
      <c r="X75" s="694">
        <v>0</v>
      </c>
    </row>
    <row r="76" spans="1:24" s="4267" customFormat="1" ht="11.45" customHeight="1">
      <c r="A76" s="958"/>
      <c r="B76" s="456"/>
      <c r="D76" s="959"/>
      <c r="E76" s="960"/>
      <c r="X76" s="447">
        <v>11</v>
      </c>
    </row>
    <row r="77" spans="1:24" s="4267" customFormat="1" ht="11.25" customHeight="1">
      <c r="A77" s="5581" t="s">
        <v>998</v>
      </c>
      <c r="B77" s="449"/>
      <c r="D77" s="603">
        <v>1</v>
      </c>
      <c r="E77" s="604" t="s">
        <v>999</v>
      </c>
      <c r="F77" s="659" t="s">
        <v>901</v>
      </c>
      <c r="G77" s="662"/>
      <c r="H77" s="948"/>
      <c r="I77" s="662"/>
      <c r="J77" s="948"/>
      <c r="K77" s="227" t="s">
        <v>1000</v>
      </c>
      <c r="X77" s="694">
        <v>0</v>
      </c>
    </row>
    <row r="78" spans="1:24" s="4267" customFormat="1" ht="11.25" customHeight="1">
      <c r="A78" s="5581"/>
      <c r="B78" s="449"/>
      <c r="D78" s="603" t="s">
        <v>103</v>
      </c>
      <c r="E78" s="604" t="s">
        <v>1001</v>
      </c>
      <c r="F78" s="659" t="s">
        <v>901</v>
      </c>
      <c r="G78" s="662"/>
      <c r="H78" s="948"/>
      <c r="I78" s="662"/>
      <c r="J78" s="948"/>
      <c r="K78" s="227" t="s">
        <v>1002</v>
      </c>
      <c r="X78" s="694">
        <v>0</v>
      </c>
    </row>
    <row r="79" spans="1:24" s="4267" customFormat="1" ht="22.5" customHeight="1">
      <c r="A79" s="5581"/>
      <c r="B79" s="449"/>
      <c r="D79" s="603" t="s">
        <v>90</v>
      </c>
      <c r="E79" s="660" t="s">
        <v>1003</v>
      </c>
      <c r="F79" s="598" t="s">
        <v>950</v>
      </c>
      <c r="G79" s="662"/>
      <c r="H79" s="948"/>
      <c r="I79" s="662"/>
      <c r="J79" s="948"/>
      <c r="K79" s="227" t="s">
        <v>1004</v>
      </c>
      <c r="X79" s="694">
        <v>0</v>
      </c>
    </row>
    <row r="80" spans="1:24" s="4267" customFormat="1" ht="11.25" customHeight="1">
      <c r="A80" s="5581"/>
      <c r="B80" s="449"/>
      <c r="D80" s="603" t="s">
        <v>417</v>
      </c>
      <c r="E80" s="661" t="s">
        <v>1005</v>
      </c>
      <c r="F80" s="598" t="s">
        <v>950</v>
      </c>
      <c r="G80" s="662"/>
      <c r="H80" s="948"/>
      <c r="I80" s="662"/>
      <c r="J80" s="948"/>
      <c r="K80" s="227"/>
      <c r="X80" s="694">
        <v>0</v>
      </c>
    </row>
    <row r="81" spans="1:24" s="4267" customFormat="1" ht="11.25" customHeight="1">
      <c r="A81" s="5581"/>
      <c r="B81" s="449"/>
      <c r="D81" s="603" t="s">
        <v>425</v>
      </c>
      <c r="E81" s="661" t="s">
        <v>1006</v>
      </c>
      <c r="F81" s="598" t="s">
        <v>950</v>
      </c>
      <c r="G81" s="662"/>
      <c r="H81" s="948"/>
      <c r="I81" s="662"/>
      <c r="J81" s="948"/>
      <c r="K81" s="227"/>
      <c r="X81" s="694">
        <v>0</v>
      </c>
    </row>
    <row r="82" spans="1:24" s="4267" customFormat="1" ht="11.25" customHeight="1">
      <c r="A82" s="5581"/>
      <c r="B82" s="449"/>
      <c r="D82" s="603" t="s">
        <v>427</v>
      </c>
      <c r="E82" s="661" t="s">
        <v>1007</v>
      </c>
      <c r="F82" s="598" t="s">
        <v>950</v>
      </c>
      <c r="G82" s="662"/>
      <c r="H82" s="948"/>
      <c r="I82" s="662"/>
      <c r="J82" s="948"/>
      <c r="K82" s="227"/>
      <c r="X82" s="694">
        <v>0</v>
      </c>
    </row>
    <row r="83" spans="1:24" s="4267" customFormat="1" ht="11.25" customHeight="1">
      <c r="A83" s="5581"/>
      <c r="B83" s="449"/>
      <c r="D83" s="603" t="s">
        <v>429</v>
      </c>
      <c r="E83" s="661" t="s">
        <v>1008</v>
      </c>
      <c r="F83" s="598" t="s">
        <v>950</v>
      </c>
      <c r="G83" s="662"/>
      <c r="H83" s="948"/>
      <c r="I83" s="662"/>
      <c r="J83" s="948"/>
      <c r="K83" s="227"/>
      <c r="X83" s="694">
        <v>0</v>
      </c>
    </row>
    <row r="84" spans="1:24" s="4267" customFormat="1" ht="11.25" customHeight="1">
      <c r="A84" s="5581"/>
      <c r="B84" s="449"/>
      <c r="D84" s="603" t="s">
        <v>1009</v>
      </c>
      <c r="E84" s="661" t="s">
        <v>1010</v>
      </c>
      <c r="F84" s="598" t="s">
        <v>950</v>
      </c>
      <c r="G84" s="662"/>
      <c r="H84" s="948"/>
      <c r="I84" s="662"/>
      <c r="J84" s="948"/>
      <c r="K84" s="227"/>
      <c r="X84" s="694">
        <v>0</v>
      </c>
    </row>
    <row r="85" spans="1:24" s="4267" customFormat="1" ht="11.25" customHeight="1">
      <c r="A85" s="5581"/>
      <c r="B85" s="449"/>
      <c r="D85" s="603" t="s">
        <v>1011</v>
      </c>
      <c r="E85" s="661" t="s">
        <v>1012</v>
      </c>
      <c r="F85" s="598" t="s">
        <v>950</v>
      </c>
      <c r="G85" s="662"/>
      <c r="H85" s="948"/>
      <c r="I85" s="662"/>
      <c r="J85" s="948"/>
      <c r="K85" s="227"/>
      <c r="X85" s="694">
        <v>0</v>
      </c>
    </row>
    <row r="86" spans="1:24" s="4267" customFormat="1" ht="11.25" customHeight="1">
      <c r="A86" s="5581"/>
      <c r="B86" s="449"/>
      <c r="D86" s="603" t="s">
        <v>1013</v>
      </c>
      <c r="E86" s="661" t="s">
        <v>1014</v>
      </c>
      <c r="F86" s="598" t="s">
        <v>950</v>
      </c>
      <c r="G86" s="662"/>
      <c r="H86" s="948"/>
      <c r="I86" s="662"/>
      <c r="J86" s="948"/>
      <c r="K86" s="227"/>
      <c r="X86" s="694">
        <v>0</v>
      </c>
    </row>
    <row r="87" spans="1:24" s="4267" customFormat="1" ht="45" customHeight="1">
      <c r="A87" s="5581"/>
      <c r="B87" s="449"/>
      <c r="D87" s="603" t="s">
        <v>91</v>
      </c>
      <c r="E87" s="604" t="s">
        <v>1015</v>
      </c>
      <c r="F87" s="598" t="s">
        <v>950</v>
      </c>
      <c r="G87" s="662"/>
      <c r="H87" s="948"/>
      <c r="I87" s="662"/>
      <c r="J87" s="948"/>
      <c r="K87" s="227" t="s">
        <v>1016</v>
      </c>
      <c r="X87" s="694">
        <v>0</v>
      </c>
    </row>
    <row r="88" spans="1:24" s="4267" customFormat="1" ht="11.25" customHeight="1">
      <c r="A88" s="5581"/>
      <c r="B88" s="449"/>
      <c r="D88" s="603" t="s">
        <v>845</v>
      </c>
      <c r="E88" s="661" t="s">
        <v>1005</v>
      </c>
      <c r="F88" s="598" t="s">
        <v>950</v>
      </c>
      <c r="G88" s="662"/>
      <c r="H88" s="948"/>
      <c r="I88" s="662"/>
      <c r="J88" s="948"/>
      <c r="K88" s="227"/>
      <c r="X88" s="694">
        <v>0</v>
      </c>
    </row>
    <row r="89" spans="1:24" s="4267" customFormat="1" ht="11.25" customHeight="1">
      <c r="A89" s="5581"/>
      <c r="B89" s="449"/>
      <c r="D89" s="603" t="s">
        <v>887</v>
      </c>
      <c r="E89" s="661" t="s">
        <v>1006</v>
      </c>
      <c r="F89" s="598" t="s">
        <v>950</v>
      </c>
      <c r="G89" s="662"/>
      <c r="H89" s="948"/>
      <c r="I89" s="662"/>
      <c r="J89" s="948"/>
      <c r="K89" s="227"/>
      <c r="X89" s="694">
        <v>0</v>
      </c>
    </row>
    <row r="90" spans="1:24" s="4267" customFormat="1" ht="11.25" customHeight="1">
      <c r="A90" s="5581"/>
      <c r="B90" s="449"/>
      <c r="D90" s="603" t="s">
        <v>890</v>
      </c>
      <c r="E90" s="661" t="s">
        <v>1007</v>
      </c>
      <c r="F90" s="598" t="s">
        <v>950</v>
      </c>
      <c r="G90" s="662"/>
      <c r="H90" s="948"/>
      <c r="I90" s="662"/>
      <c r="J90" s="948"/>
      <c r="K90" s="227"/>
      <c r="X90" s="694">
        <v>0</v>
      </c>
    </row>
    <row r="91" spans="1:24" s="4267" customFormat="1" ht="11.25" customHeight="1">
      <c r="A91" s="5581"/>
      <c r="B91" s="449"/>
      <c r="D91" s="603" t="s">
        <v>968</v>
      </c>
      <c r="E91" s="661" t="s">
        <v>1008</v>
      </c>
      <c r="F91" s="598" t="s">
        <v>950</v>
      </c>
      <c r="G91" s="662"/>
      <c r="H91" s="948"/>
      <c r="I91" s="662"/>
      <c r="J91" s="948"/>
      <c r="K91" s="227"/>
      <c r="X91" s="694">
        <v>0</v>
      </c>
    </row>
    <row r="92" spans="1:24" s="4267" customFormat="1" ht="11.25" customHeight="1">
      <c r="A92" s="5581"/>
      <c r="B92" s="449"/>
      <c r="D92" s="603" t="s">
        <v>970</v>
      </c>
      <c r="E92" s="661" t="s">
        <v>1010</v>
      </c>
      <c r="F92" s="598" t="s">
        <v>950</v>
      </c>
      <c r="G92" s="662"/>
      <c r="H92" s="948"/>
      <c r="I92" s="662"/>
      <c r="J92" s="948"/>
      <c r="K92" s="227"/>
      <c r="X92" s="694">
        <v>0</v>
      </c>
    </row>
    <row r="93" spans="1:24" s="4267" customFormat="1" ht="11.25" customHeight="1">
      <c r="A93" s="5581"/>
      <c r="B93" s="449"/>
      <c r="D93" s="603" t="s">
        <v>1017</v>
      </c>
      <c r="E93" s="661" t="s">
        <v>1012</v>
      </c>
      <c r="F93" s="598" t="s">
        <v>950</v>
      </c>
      <c r="G93" s="662"/>
      <c r="H93" s="948"/>
      <c r="I93" s="662"/>
      <c r="J93" s="948"/>
      <c r="K93" s="227"/>
      <c r="X93" s="694">
        <v>0</v>
      </c>
    </row>
    <row r="94" spans="1:24" s="4267" customFormat="1" ht="11.25" customHeight="1">
      <c r="A94" s="5581"/>
      <c r="B94" s="449"/>
      <c r="D94" s="603" t="s">
        <v>1018</v>
      </c>
      <c r="E94" s="661" t="s">
        <v>1014</v>
      </c>
      <c r="F94" s="598" t="s">
        <v>950</v>
      </c>
      <c r="G94" s="662"/>
      <c r="H94" s="948"/>
      <c r="I94" s="662"/>
      <c r="J94" s="948"/>
      <c r="K94" s="227"/>
      <c r="X94" s="694">
        <v>0</v>
      </c>
    </row>
    <row r="95" spans="1:24" s="4267" customFormat="1" ht="24.75" customHeight="1">
      <c r="A95" s="5581"/>
      <c r="B95" s="449"/>
      <c r="D95" s="603" t="s">
        <v>116</v>
      </c>
      <c r="E95" s="604" t="s">
        <v>1019</v>
      </c>
      <c r="F95" s="663" t="s">
        <v>650</v>
      </c>
      <c r="G95" s="665"/>
      <c r="H95" s="948"/>
      <c r="I95" s="665"/>
      <c r="J95" s="948"/>
      <c r="K95" s="227" t="s">
        <v>1020</v>
      </c>
      <c r="X95" s="694">
        <v>0</v>
      </c>
    </row>
    <row r="96" spans="1:24" s="4267" customFormat="1" ht="33.75" customHeight="1">
      <c r="A96" s="5581"/>
      <c r="B96" s="449"/>
      <c r="D96" s="603" t="s">
        <v>92</v>
      </c>
      <c r="E96" s="604" t="s">
        <v>1021</v>
      </c>
      <c r="F96" s="664" t="s">
        <v>911</v>
      </c>
      <c r="G96" s="666"/>
      <c r="H96" s="948"/>
      <c r="I96" s="666"/>
      <c r="J96" s="948"/>
      <c r="K96" s="227"/>
      <c r="X96" s="694">
        <v>0</v>
      </c>
    </row>
    <row r="97" spans="1:24" s="4267" customFormat="1" ht="22.5" customHeight="1">
      <c r="A97" s="5581"/>
      <c r="B97" s="449" t="s">
        <v>680</v>
      </c>
      <c r="D97" s="603" t="s">
        <v>93</v>
      </c>
      <c r="E97" s="604" t="s">
        <v>1022</v>
      </c>
      <c r="F97" s="664" t="s">
        <v>399</v>
      </c>
      <c r="G97" s="323"/>
      <c r="H97" s="948"/>
      <c r="I97" s="323"/>
      <c r="J97" s="948"/>
      <c r="K97" s="227" t="s">
        <v>723</v>
      </c>
      <c r="X97" s="694">
        <v>0</v>
      </c>
    </row>
    <row r="98" spans="1:24" s="4267" customFormat="1" ht="45" customHeight="1">
      <c r="A98" s="5581"/>
      <c r="B98" s="449" t="s">
        <v>680</v>
      </c>
      <c r="D98" s="603" t="s">
        <v>1023</v>
      </c>
      <c r="E98" s="605" t="s">
        <v>1024</v>
      </c>
      <c r="F98" s="659" t="s">
        <v>399</v>
      </c>
      <c r="G98" s="323"/>
      <c r="H98" s="948"/>
      <c r="I98" s="323"/>
      <c r="J98" s="948"/>
      <c r="K98" s="227" t="s">
        <v>723</v>
      </c>
      <c r="X98" s="694">
        <v>0</v>
      </c>
    </row>
    <row r="99" spans="1:24" s="4267" customFormat="1" ht="95.25" customHeight="1">
      <c r="A99" s="5581"/>
      <c r="B99" s="449" t="s">
        <v>680</v>
      </c>
      <c r="D99" s="603" t="s">
        <v>129</v>
      </c>
      <c r="E99" s="604" t="s">
        <v>1025</v>
      </c>
      <c r="F99" s="659" t="s">
        <v>399</v>
      </c>
      <c r="G99" s="323"/>
      <c r="H99" s="948"/>
      <c r="I99" s="323"/>
      <c r="J99" s="948"/>
      <c r="K99" s="227" t="s">
        <v>723</v>
      </c>
      <c r="X99" s="694">
        <v>0</v>
      </c>
    </row>
    <row r="100" spans="1:24" s="4267" customFormat="1" ht="22.5" customHeight="1">
      <c r="A100" s="5581"/>
      <c r="B100" s="449" t="s">
        <v>680</v>
      </c>
      <c r="D100" s="603" t="s">
        <v>134</v>
      </c>
      <c r="E100" s="604" t="s">
        <v>1026</v>
      </c>
      <c r="F100" s="659" t="s">
        <v>399</v>
      </c>
      <c r="G100" s="323"/>
      <c r="H100" s="948"/>
      <c r="I100" s="323"/>
      <c r="J100" s="948"/>
      <c r="K100" s="227" t="s">
        <v>723</v>
      </c>
      <c r="X100" s="694">
        <v>0</v>
      </c>
    </row>
    <row r="101" spans="1:24" s="4267" customFormat="1" ht="11.45" customHeight="1">
      <c r="A101" s="958"/>
      <c r="B101" s="456"/>
      <c r="D101" s="959"/>
      <c r="E101" s="960"/>
      <c r="X101" s="447">
        <v>11</v>
      </c>
    </row>
    <row r="102" spans="1:24" ht="22.5" hidden="1" customHeight="1">
      <c r="A102" s="474" t="s">
        <v>82</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4284" hidden="1" customWidth="1"/>
    <col min="2" max="2" width="2" style="4284" hidden="1" customWidth="1"/>
    <col min="3" max="3" width="3" style="4284" customWidth="1"/>
    <col min="4" max="4" width="4" style="4284" customWidth="1"/>
    <col min="5" max="5" width="44" style="4284" customWidth="1"/>
    <col min="6" max="6" width="6.42578125" style="4284" customWidth="1"/>
    <col min="7" max="7" width="4" style="4284" customWidth="1"/>
    <col min="8" max="8" width="5" style="4284" customWidth="1"/>
    <col min="9" max="9" width="52" style="4284" customWidth="1"/>
    <col min="10" max="10" width="7" style="4284" customWidth="1"/>
    <col min="11" max="11" width="3" style="4284" customWidth="1"/>
    <col min="12" max="12" width="6" style="4284" customWidth="1"/>
    <col min="13" max="13" width="56" style="4284" customWidth="1"/>
    <col min="14" max="14" width="8" style="4285" customWidth="1"/>
    <col min="15" max="20" width="9.140625" style="4281" hidden="1"/>
    <col min="21" max="24" width="9.140625" style="4286" hidden="1"/>
    <col min="25" max="37" width="9.140625" style="4285" hidden="1"/>
    <col min="38" max="38" width="8" style="4285" customWidth="1"/>
    <col min="39" max="39" width="9.140625" style="4284"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5321"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5322"/>
      <c r="F4" s="5322"/>
      <c r="G4" s="5322"/>
      <c r="H4" s="5322"/>
      <c r="I4" s="5323"/>
      <c r="J4" s="522"/>
      <c r="K4" s="522"/>
      <c r="L4" s="522"/>
      <c r="M4" s="522"/>
      <c r="AM4" s="521">
        <v>34</v>
      </c>
    </row>
    <row r="5" spans="1:39" s="4283" customFormat="1" ht="14.65" customHeight="1">
      <c r="A5" s="523"/>
      <c r="B5" s="523"/>
      <c r="C5" s="523"/>
      <c r="D5" s="5324" t="str">
        <f>IF(org=0,"Не определено",org)</f>
        <v>КГУП "Примтеплоэнерго"</v>
      </c>
      <c r="E5" s="5325"/>
      <c r="F5" s="5325"/>
      <c r="G5" s="5325"/>
      <c r="H5" s="5325"/>
      <c r="I5" s="5326"/>
      <c r="J5" s="524"/>
      <c r="K5" s="524"/>
      <c r="L5" s="524"/>
      <c r="M5" s="524"/>
      <c r="N5" s="524"/>
      <c r="O5" s="798"/>
      <c r="P5" s="798"/>
      <c r="Q5" s="798"/>
      <c r="R5" s="798"/>
      <c r="S5" s="798"/>
      <c r="T5" s="798"/>
      <c r="U5" s="1182"/>
      <c r="V5" s="1182"/>
      <c r="W5" s="1182"/>
      <c r="X5" s="1182"/>
      <c r="Y5" s="524"/>
      <c r="Z5" s="524"/>
      <c r="AA5" s="524"/>
      <c r="AB5" s="524"/>
      <c r="AC5" s="524"/>
      <c r="AD5" s="524"/>
      <c r="AE5" s="524"/>
      <c r="AF5" s="524"/>
      <c r="AG5" s="524"/>
      <c r="AH5" s="524"/>
      <c r="AI5" s="524"/>
      <c r="AJ5" s="524"/>
      <c r="AK5" s="524"/>
      <c r="AL5" s="524"/>
      <c r="AM5" s="525">
        <v>14</v>
      </c>
    </row>
    <row r="6" spans="1:39" s="4283" customFormat="1" ht="6.4" customHeight="1">
      <c r="A6" s="5312"/>
      <c r="B6" s="5312"/>
      <c r="C6" s="5312"/>
      <c r="D6" s="5312"/>
      <c r="E6" s="5312"/>
      <c r="F6" s="5312"/>
      <c r="G6" s="526"/>
      <c r="H6" s="526"/>
      <c r="I6" s="526"/>
      <c r="J6" s="526"/>
      <c r="K6" s="526"/>
      <c r="N6" s="528"/>
      <c r="O6" s="1335"/>
      <c r="P6" s="1335"/>
      <c r="Q6" s="1335"/>
      <c r="R6" s="1335"/>
      <c r="S6" s="1335"/>
      <c r="T6" s="1335"/>
      <c r="U6" s="1185"/>
      <c r="V6" s="1185"/>
      <c r="W6" s="1185"/>
      <c r="X6" s="1185"/>
      <c r="Y6" s="528"/>
      <c r="Z6" s="528"/>
      <c r="AA6" s="528"/>
      <c r="AB6" s="528"/>
      <c r="AC6" s="528"/>
      <c r="AD6" s="528"/>
      <c r="AE6" s="528"/>
      <c r="AF6" s="528"/>
      <c r="AG6" s="528"/>
      <c r="AH6" s="528"/>
      <c r="AI6" s="528"/>
      <c r="AJ6" s="528"/>
      <c r="AK6" s="528"/>
      <c r="AL6" s="528"/>
      <c r="AM6" s="527">
        <v>6</v>
      </c>
    </row>
    <row r="7" spans="1:39" ht="45.75" hidden="1" customHeight="1">
      <c r="E7" s="53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5332"/>
      <c r="G7" s="5332"/>
      <c r="H7" s="5332"/>
      <c r="I7" s="5332"/>
      <c r="J7" s="5332"/>
      <c r="K7" s="5332"/>
      <c r="L7" s="5332"/>
      <c r="M7" s="5332"/>
      <c r="AM7" s="521">
        <v>0</v>
      </c>
    </row>
    <row r="8" spans="1:39" s="4283" customFormat="1" ht="6.4" customHeight="1">
      <c r="A8" s="529"/>
      <c r="B8" s="529"/>
      <c r="C8" s="529"/>
      <c r="D8" s="529"/>
      <c r="E8" s="529"/>
      <c r="F8" s="529"/>
      <c r="G8" s="529"/>
      <c r="H8" s="529"/>
      <c r="I8" s="529"/>
      <c r="J8" s="529"/>
      <c r="K8" s="529"/>
      <c r="L8" s="529"/>
      <c r="M8" s="527"/>
      <c r="N8" s="524"/>
      <c r="O8" s="798"/>
      <c r="P8" s="798"/>
      <c r="Q8" s="798"/>
      <c r="R8" s="798"/>
      <c r="S8" s="798"/>
      <c r="T8" s="798"/>
      <c r="U8" s="1182"/>
      <c r="V8" s="1182"/>
      <c r="W8" s="1182"/>
      <c r="X8" s="1182"/>
      <c r="Y8" s="524"/>
      <c r="Z8" s="524"/>
      <c r="AA8" s="524"/>
      <c r="AB8" s="524"/>
      <c r="AC8" s="524"/>
      <c r="AD8" s="524"/>
      <c r="AE8" s="524"/>
      <c r="AF8" s="524"/>
      <c r="AG8" s="524"/>
      <c r="AH8" s="524"/>
      <c r="AI8" s="524"/>
      <c r="AJ8" s="524"/>
      <c r="AK8" s="524"/>
      <c r="AL8" s="524"/>
      <c r="AM8" s="525">
        <v>6</v>
      </c>
    </row>
    <row r="9" spans="1:39" ht="18.75" customHeight="1">
      <c r="A9" s="5327"/>
      <c r="B9" s="261"/>
      <c r="C9" s="261"/>
      <c r="D9" s="5328" t="s">
        <v>141</v>
      </c>
      <c r="E9" s="5328"/>
      <c r="F9" s="5329" t="s">
        <v>142</v>
      </c>
      <c r="G9" s="5330"/>
      <c r="H9" s="5330"/>
      <c r="I9" s="5330"/>
      <c r="J9" s="5333" t="s">
        <v>143</v>
      </c>
      <c r="K9" s="5333"/>
      <c r="L9" s="5333"/>
      <c r="M9" s="5333"/>
      <c r="AM9" s="521">
        <v>18</v>
      </c>
    </row>
    <row r="10" spans="1:39" ht="24" customHeight="1">
      <c r="A10" s="5327"/>
      <c r="B10" s="530"/>
      <c r="C10" s="463"/>
      <c r="D10" s="461" t="s">
        <v>88</v>
      </c>
      <c r="E10" s="461" t="s">
        <v>89</v>
      </c>
      <c r="F10" s="461" t="s">
        <v>144</v>
      </c>
      <c r="G10" s="5334" t="s">
        <v>88</v>
      </c>
      <c r="H10" s="5335"/>
      <c r="I10" s="461" t="s">
        <v>89</v>
      </c>
      <c r="J10" s="461" t="s">
        <v>144</v>
      </c>
      <c r="K10" s="5334" t="s">
        <v>88</v>
      </c>
      <c r="L10" s="5335"/>
      <c r="M10" s="461" t="s">
        <v>89</v>
      </c>
      <c r="N10" s="1548"/>
      <c r="AM10" s="521">
        <v>23</v>
      </c>
    </row>
    <row r="11" spans="1:39" s="4284" customFormat="1" ht="11.25" hidden="1" customHeight="1">
      <c r="A11" s="531"/>
      <c r="B11" s="531"/>
      <c r="C11" s="531"/>
      <c r="D11" s="532" t="s">
        <v>136</v>
      </c>
      <c r="E11" s="532" t="s">
        <v>103</v>
      </c>
      <c r="F11" s="532" t="s">
        <v>90</v>
      </c>
      <c r="G11" s="5317" t="s">
        <v>91</v>
      </c>
      <c r="H11" s="5318"/>
      <c r="I11" s="532" t="s">
        <v>116</v>
      </c>
      <c r="J11" s="532" t="s">
        <v>92</v>
      </c>
      <c r="K11" s="5319" t="s">
        <v>93</v>
      </c>
      <c r="L11" s="5320"/>
      <c r="M11" s="532" t="s">
        <v>129</v>
      </c>
      <c r="N11" s="1547"/>
      <c r="O11" s="1334"/>
      <c r="P11" s="1336"/>
      <c r="Q11" s="1336"/>
      <c r="R11" s="1336"/>
      <c r="S11" s="1336"/>
      <c r="T11" s="1336"/>
      <c r="U11" s="1186"/>
      <c r="V11" s="1186"/>
      <c r="W11" s="1186"/>
      <c r="X11" s="1186"/>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84"/>
      <c r="H12" s="984"/>
      <c r="I12" s="538"/>
      <c r="J12" s="538"/>
      <c r="K12" s="112"/>
      <c r="L12" s="305"/>
      <c r="M12" s="539"/>
      <c r="N12" s="1548"/>
      <c r="O12" s="1334" t="s">
        <v>145</v>
      </c>
      <c r="P12" s="1334" t="s">
        <v>146</v>
      </c>
      <c r="Q12" s="1334" t="s">
        <v>147</v>
      </c>
      <c r="R12" s="1334" t="s">
        <v>148</v>
      </c>
      <c r="AM12" s="521">
        <v>1</v>
      </c>
    </row>
    <row r="13" spans="1:39" s="4284" customFormat="1" ht="15.75" customHeight="1">
      <c r="A13" s="231"/>
      <c r="B13" s="231"/>
      <c r="C13" s="464"/>
      <c r="D13" s="5339" t="s">
        <v>136</v>
      </c>
      <c r="E13" s="5340"/>
      <c r="F13" s="5343" t="s">
        <v>66</v>
      </c>
      <c r="G13" s="5344"/>
      <c r="H13" s="5345">
        <v>1</v>
      </c>
      <c r="I13" s="5336" t="str">
        <f>IF(U13="","",INDEX(TERRITORY_MR_LIST,MATCH(U13,TERRITORY_LIST_ID,0)))</f>
        <v/>
      </c>
      <c r="J13" s="5338" t="s">
        <v>19</v>
      </c>
      <c r="K13" s="540"/>
      <c r="L13" s="465" t="s">
        <v>136</v>
      </c>
      <c r="M13" s="541" t="s">
        <v>28</v>
      </c>
      <c r="N13" s="744"/>
      <c r="O13" s="1337" t="s">
        <v>149</v>
      </c>
      <c r="P13" s="1334">
        <f>$E$13</f>
        <v>0</v>
      </c>
      <c r="Q13" s="1334" t="str">
        <f>IF($F$13="нет","без дифференциации",$I$13)</f>
        <v/>
      </c>
      <c r="R13" s="1334" t="str">
        <f>IF($J$13="нет","без дифференциации",M13)</f>
        <v>без дифференциации</v>
      </c>
      <c r="S13" s="1337"/>
      <c r="T13" s="1337"/>
      <c r="U13" s="1187"/>
      <c r="V13" s="1187"/>
      <c r="W13" s="1187"/>
      <c r="X13" s="1187"/>
      <c r="Y13" s="542" t="s">
        <v>150</v>
      </c>
      <c r="Z13" s="542">
        <v>1705000</v>
      </c>
      <c r="AA13" s="542"/>
      <c r="AB13" s="542"/>
      <c r="AC13" s="542"/>
      <c r="AD13" s="542"/>
      <c r="AE13" s="542"/>
      <c r="AF13" s="542"/>
      <c r="AG13" s="542"/>
      <c r="AH13" s="542"/>
      <c r="AI13" s="542"/>
      <c r="AJ13" s="542"/>
      <c r="AK13" s="542"/>
      <c r="AL13" s="542"/>
      <c r="AM13" s="544">
        <v>15</v>
      </c>
    </row>
    <row r="14" spans="1:39" s="4284" customFormat="1" ht="15.75" customHeight="1">
      <c r="A14" s="231"/>
      <c r="B14" s="231"/>
      <c r="C14" s="114"/>
      <c r="D14" s="5339"/>
      <c r="E14" s="5341"/>
      <c r="F14" s="5338"/>
      <c r="G14" s="5344"/>
      <c r="H14" s="5345"/>
      <c r="I14" s="5337"/>
      <c r="J14" s="5338"/>
      <c r="K14" s="359"/>
      <c r="L14" s="115"/>
      <c r="M14" s="545" t="s">
        <v>151</v>
      </c>
      <c r="N14" s="744"/>
      <c r="O14" s="1337"/>
      <c r="P14" s="1334"/>
      <c r="Q14" s="1334"/>
      <c r="R14" s="1334"/>
      <c r="S14" s="1337"/>
      <c r="T14" s="1337"/>
      <c r="U14" s="1187"/>
      <c r="V14" s="1187"/>
      <c r="W14" s="1187"/>
      <c r="X14" s="1187"/>
      <c r="Y14" s="542"/>
      <c r="Z14" s="542"/>
      <c r="AA14" s="542"/>
      <c r="AB14" s="542"/>
      <c r="AC14" s="542"/>
      <c r="AD14" s="542"/>
      <c r="AE14" s="542"/>
      <c r="AF14" s="542"/>
      <c r="AG14" s="542"/>
      <c r="AH14" s="542"/>
      <c r="AI14" s="542"/>
      <c r="AJ14" s="542"/>
      <c r="AK14" s="542"/>
      <c r="AL14" s="542"/>
      <c r="AM14" s="544">
        <v>15</v>
      </c>
    </row>
    <row r="15" spans="1:39" s="4284" customFormat="1" ht="15.75" customHeight="1">
      <c r="A15" s="231"/>
      <c r="B15" s="231"/>
      <c r="C15" s="114"/>
      <c r="D15" s="5339"/>
      <c r="E15" s="5342"/>
      <c r="F15" s="5338"/>
      <c r="G15" s="985"/>
      <c r="H15" s="986"/>
      <c r="I15" s="518" t="s">
        <v>152</v>
      </c>
      <c r="J15" s="115"/>
      <c r="K15" s="115"/>
      <c r="L15" s="115"/>
      <c r="M15" s="546"/>
      <c r="N15" s="744"/>
      <c r="O15" s="1337"/>
      <c r="P15" s="1334"/>
      <c r="Q15" s="1334"/>
      <c r="R15" s="1334"/>
      <c r="S15" s="1337"/>
      <c r="T15" s="1337"/>
      <c r="U15" s="1187"/>
      <c r="V15" s="1187"/>
      <c r="W15" s="1187"/>
      <c r="X15" s="1187"/>
      <c r="Y15" s="542"/>
      <c r="Z15" s="542"/>
      <c r="AA15" s="542"/>
      <c r="AB15" s="542"/>
      <c r="AC15" s="542"/>
      <c r="AD15" s="542"/>
      <c r="AE15" s="542"/>
      <c r="AF15" s="542"/>
      <c r="AG15" s="542"/>
      <c r="AH15" s="542"/>
      <c r="AI15" s="542"/>
      <c r="AJ15" s="542"/>
      <c r="AK15" s="542"/>
      <c r="AL15" s="542"/>
      <c r="AM15" s="544">
        <v>15</v>
      </c>
    </row>
    <row r="16" spans="1:39" ht="15.75" customHeight="1">
      <c r="A16" s="547"/>
      <c r="B16" s="75"/>
      <c r="C16" s="738"/>
      <c r="D16" s="359"/>
      <c r="E16" s="509" t="s">
        <v>153</v>
      </c>
      <c r="F16" s="115"/>
      <c r="G16" s="115"/>
      <c r="H16" s="115"/>
      <c r="I16" s="115"/>
      <c r="J16" s="115"/>
      <c r="K16" s="115" t="s">
        <v>28</v>
      </c>
      <c r="L16" s="115"/>
      <c r="M16" s="546"/>
      <c r="N16" s="1548"/>
      <c r="AM16" s="521">
        <v>15</v>
      </c>
    </row>
    <row r="17" spans="1:39" ht="11.25" hidden="1" customHeight="1">
      <c r="A17" s="521" t="s">
        <v>82</v>
      </c>
      <c r="B17" s="521">
        <v>0</v>
      </c>
      <c r="C17" s="521">
        <v>3</v>
      </c>
      <c r="D17" s="521">
        <v>4</v>
      </c>
      <c r="E17" s="521">
        <v>44</v>
      </c>
      <c r="F17" s="521">
        <v>6</v>
      </c>
      <c r="G17" s="521">
        <v>4</v>
      </c>
      <c r="H17" s="521">
        <v>5</v>
      </c>
      <c r="I17" s="521">
        <v>52</v>
      </c>
      <c r="J17" s="521">
        <v>6</v>
      </c>
      <c r="K17" s="521">
        <v>3</v>
      </c>
      <c r="L17" s="521">
        <v>6</v>
      </c>
      <c r="M17" s="521">
        <v>56</v>
      </c>
      <c r="N17" s="522">
        <v>8</v>
      </c>
      <c r="O17" s="1334">
        <v>0</v>
      </c>
      <c r="P17" s="1334">
        <v>0</v>
      </c>
      <c r="Q17" s="1334">
        <v>0</v>
      </c>
      <c r="R17" s="1334">
        <v>0</v>
      </c>
      <c r="S17" s="1334">
        <v>0</v>
      </c>
      <c r="T17" s="1334">
        <v>0</v>
      </c>
      <c r="U17" s="1184">
        <v>0</v>
      </c>
      <c r="V17" s="1184">
        <v>0</v>
      </c>
      <c r="W17" s="1184">
        <v>0</v>
      </c>
      <c r="X17" s="1184">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4265" hidden="1" customWidth="1"/>
    <col min="2" max="2" width="9.140625" style="4267" hidden="1" customWidth="1"/>
    <col min="3" max="3" width="4" style="5260" customWidth="1"/>
    <col min="4" max="4" width="6" style="4267" customWidth="1"/>
    <col min="5" max="5" width="36" style="4267" customWidth="1"/>
    <col min="6" max="6" width="9" style="4267" customWidth="1"/>
    <col min="7" max="7" width="25.7109375" style="4267" hidden="1" customWidth="1"/>
    <col min="8" max="8" width="33.7109375" style="4267" hidden="1" customWidth="1"/>
    <col min="9" max="9" width="25.7109375" style="4267" customWidth="1"/>
    <col min="10" max="10" width="33" style="4267" customWidth="1"/>
    <col min="11" max="11" width="93" style="4274" customWidth="1"/>
    <col min="12" max="20" width="10" style="4267" customWidth="1"/>
    <col min="21" max="21" width="10" style="5261" customWidth="1"/>
    <col min="22" max="22" width="10.5703125" style="4267" hidden="1"/>
  </cols>
  <sheetData>
    <row r="1" spans="1:22" s="4274" customFormat="1" ht="22.5" hidden="1" customHeight="1">
      <c r="C1" s="610"/>
      <c r="G1" s="355">
        <v>4</v>
      </c>
      <c r="I1" s="355">
        <v>4</v>
      </c>
      <c r="U1" s="358"/>
      <c r="V1" s="355" t="s">
        <v>14</v>
      </c>
    </row>
    <row r="2" spans="1:22" s="4274" customFormat="1" ht="15" hidden="1" customHeight="1">
      <c r="C2" s="610"/>
      <c r="U2" s="358"/>
      <c r="V2" s="355">
        <v>0</v>
      </c>
    </row>
    <row r="3" spans="1:22" ht="22.5" hidden="1" customHeight="1">
      <c r="A3" s="443"/>
      <c r="B3" s="5582"/>
      <c r="C3" s="5583" t="s">
        <v>104</v>
      </c>
      <c r="D3" s="627" t="str">
        <f>B3&amp;".1"</f>
        <v>.1</v>
      </c>
      <c r="E3" s="628" t="s">
        <v>1027</v>
      </c>
      <c r="F3" s="629" t="s">
        <v>399</v>
      </c>
      <c r="G3" s="624"/>
      <c r="H3" s="339"/>
      <c r="I3" s="624"/>
      <c r="J3" s="339"/>
      <c r="K3" s="227" t="s">
        <v>1028</v>
      </c>
      <c r="V3" s="443">
        <v>0</v>
      </c>
    </row>
    <row r="4" spans="1:22" ht="15" hidden="1" customHeight="1">
      <c r="A4" s="443"/>
      <c r="B4" s="5582"/>
      <c r="C4" s="5583"/>
      <c r="D4" s="627" t="str">
        <f>B3&amp;".2"</f>
        <v>.2</v>
      </c>
      <c r="E4" s="628" t="s">
        <v>1029</v>
      </c>
      <c r="F4" s="629" t="s">
        <v>399</v>
      </c>
      <c r="G4" s="1658" t="s">
        <v>28</v>
      </c>
      <c r="H4" s="339"/>
      <c r="I4" s="1658" t="s">
        <v>28</v>
      </c>
      <c r="J4" s="339"/>
      <c r="K4" s="227" t="s">
        <v>1030</v>
      </c>
      <c r="V4" s="443">
        <v>0</v>
      </c>
    </row>
    <row r="5" spans="1:22" s="4274" customFormat="1" ht="15" hidden="1" customHeight="1">
      <c r="C5" s="610"/>
      <c r="U5" s="358"/>
      <c r="V5" s="355">
        <v>0</v>
      </c>
    </row>
    <row r="6" spans="1:22" ht="22.5" hidden="1" customHeight="1">
      <c r="A6" s="443"/>
      <c r="B6" s="5582"/>
      <c r="C6" s="5583" t="s">
        <v>104</v>
      </c>
      <c r="D6" s="627" t="str">
        <f>B6&amp;".1"</f>
        <v>.1</v>
      </c>
      <c r="E6" s="628" t="s">
        <v>1031</v>
      </c>
      <c r="F6" s="629" t="s">
        <v>399</v>
      </c>
      <c r="G6" s="624"/>
      <c r="H6" s="339"/>
      <c r="I6" s="624"/>
      <c r="J6" s="339"/>
      <c r="K6" s="227" t="s">
        <v>1032</v>
      </c>
      <c r="V6" s="443">
        <v>0</v>
      </c>
    </row>
    <row r="7" spans="1:22" ht="15" hidden="1" customHeight="1">
      <c r="A7" s="443"/>
      <c r="B7" s="5582"/>
      <c r="C7" s="5583"/>
      <c r="D7" s="627" t="str">
        <f>B6&amp;".2"</f>
        <v>.2</v>
      </c>
      <c r="E7" s="628" t="s">
        <v>1029</v>
      </c>
      <c r="F7" s="629" t="s">
        <v>399</v>
      </c>
      <c r="G7" s="1658" t="s">
        <v>28</v>
      </c>
      <c r="H7" s="339"/>
      <c r="I7" s="1658" t="s">
        <v>28</v>
      </c>
      <c r="J7" s="339"/>
      <c r="K7" s="227" t="s">
        <v>1030</v>
      </c>
      <c r="V7" s="443">
        <v>0</v>
      </c>
    </row>
    <row r="8" spans="1:22" s="4274" customFormat="1" ht="15" hidden="1" customHeight="1">
      <c r="C8" s="610"/>
      <c r="U8" s="358"/>
      <c r="V8" s="355">
        <v>0</v>
      </c>
    </row>
    <row r="9" spans="1:22" ht="22.5" hidden="1" customHeight="1">
      <c r="A9" s="443"/>
      <c r="B9" s="5582"/>
      <c r="C9" s="5583" t="s">
        <v>104</v>
      </c>
      <c r="D9" s="627" t="str">
        <f>B9&amp;".1"</f>
        <v>.1</v>
      </c>
      <c r="E9" s="628" t="s">
        <v>1033</v>
      </c>
      <c r="F9" s="629" t="s">
        <v>399</v>
      </c>
      <c r="G9" s="635" t="s">
        <v>28</v>
      </c>
      <c r="H9" s="339" t="s">
        <v>28</v>
      </c>
      <c r="I9" s="635" t="s">
        <v>28</v>
      </c>
      <c r="J9" s="339" t="s">
        <v>28</v>
      </c>
      <c r="K9" s="227"/>
      <c r="V9" s="443">
        <v>0</v>
      </c>
    </row>
    <row r="10" spans="1:22" ht="15" hidden="1" customHeight="1">
      <c r="A10" s="443"/>
      <c r="B10" s="5582"/>
      <c r="C10" s="5583"/>
      <c r="D10" s="627" t="str">
        <f>B9&amp;".2"</f>
        <v>.2</v>
      </c>
      <c r="E10" s="628" t="s">
        <v>1034</v>
      </c>
      <c r="F10" s="629" t="s">
        <v>399</v>
      </c>
      <c r="G10" s="1652" t="s">
        <v>28</v>
      </c>
      <c r="H10" s="339" t="s">
        <v>28</v>
      </c>
      <c r="I10" s="1652" t="s">
        <v>28</v>
      </c>
      <c r="J10" s="339" t="s">
        <v>28</v>
      </c>
      <c r="K10" s="227" t="s">
        <v>1035</v>
      </c>
      <c r="V10" s="443">
        <v>0</v>
      </c>
    </row>
    <row r="11" spans="1:22" ht="15" hidden="1" customHeight="1">
      <c r="A11" s="443"/>
      <c r="B11" s="5582"/>
      <c r="C11" s="5583"/>
      <c r="D11" s="627" t="str">
        <f>B9&amp;".3"</f>
        <v>.3</v>
      </c>
      <c r="E11" s="628" t="s">
        <v>1036</v>
      </c>
      <c r="F11" s="629" t="s">
        <v>399</v>
      </c>
      <c r="G11" s="1652" t="s">
        <v>28</v>
      </c>
      <c r="H11" s="339" t="s">
        <v>28</v>
      </c>
      <c r="I11" s="1652" t="s">
        <v>28</v>
      </c>
      <c r="J11" s="339" t="s">
        <v>28</v>
      </c>
      <c r="K11" s="227" t="s">
        <v>1037</v>
      </c>
      <c r="V11" s="443">
        <v>0</v>
      </c>
    </row>
    <row r="12" spans="1:22" s="4274" customFormat="1" ht="15" hidden="1" customHeight="1">
      <c r="C12" s="610"/>
      <c r="U12" s="358"/>
      <c r="V12" s="355">
        <v>0</v>
      </c>
    </row>
    <row r="13" spans="1:22" ht="33.75" hidden="1" customHeight="1">
      <c r="A13" s="443"/>
      <c r="B13" s="5582"/>
      <c r="C13" s="5583" t="s">
        <v>104</v>
      </c>
      <c r="D13" s="627" t="str">
        <f>B13&amp;".1"</f>
        <v>.1</v>
      </c>
      <c r="E13" s="628" t="s">
        <v>1038</v>
      </c>
      <c r="F13" s="629" t="s">
        <v>399</v>
      </c>
      <c r="G13" s="635" t="s">
        <v>28</v>
      </c>
      <c r="H13" s="339" t="s">
        <v>28</v>
      </c>
      <c r="I13" s="635" t="s">
        <v>28</v>
      </c>
      <c r="J13" s="339" t="s">
        <v>28</v>
      </c>
      <c r="K13" s="227" t="s">
        <v>1039</v>
      </c>
      <c r="V13" s="443">
        <v>0</v>
      </c>
    </row>
    <row r="14" spans="1:22" ht="15" hidden="1" customHeight="1">
      <c r="B14" s="5582"/>
      <c r="C14" s="5583"/>
      <c r="D14" s="627" t="str">
        <f>B13&amp;".2"</f>
        <v>.2</v>
      </c>
      <c r="E14" s="628" t="s">
        <v>1040</v>
      </c>
      <c r="F14" s="629" t="s">
        <v>399</v>
      </c>
      <c r="G14" s="1652" t="s">
        <v>28</v>
      </c>
      <c r="H14" s="339" t="s">
        <v>28</v>
      </c>
      <c r="I14" s="1652" t="s">
        <v>28</v>
      </c>
      <c r="J14" s="339" t="s">
        <v>28</v>
      </c>
      <c r="K14" s="227" t="s">
        <v>1041</v>
      </c>
      <c r="V14" s="443">
        <v>0</v>
      </c>
    </row>
    <row r="15" spans="1:22" s="4274" customFormat="1" ht="15" hidden="1" customHeight="1">
      <c r="C15" s="610"/>
      <c r="U15" s="358"/>
      <c r="V15" s="355">
        <v>0</v>
      </c>
    </row>
    <row r="16" spans="1:22" s="4274" customFormat="1" ht="15" hidden="1" customHeight="1">
      <c r="C16" s="610"/>
      <c r="U16" s="358"/>
      <c r="V16" s="355">
        <v>0</v>
      </c>
    </row>
    <row r="17" spans="1:22" s="4274" customFormat="1" ht="15" hidden="1" customHeight="1">
      <c r="C17" s="610"/>
      <c r="U17" s="358"/>
      <c r="V17" s="355">
        <v>0</v>
      </c>
    </row>
    <row r="18" spans="1:22" s="4274" customFormat="1" ht="15" hidden="1" customHeight="1">
      <c r="C18" s="610"/>
      <c r="U18" s="358"/>
      <c r="V18" s="355">
        <v>0</v>
      </c>
    </row>
    <row r="19" spans="1:22" s="4274" customFormat="1" ht="15" hidden="1" customHeight="1">
      <c r="C19" s="610"/>
      <c r="U19" s="358"/>
      <c r="V19" s="355">
        <v>0</v>
      </c>
    </row>
    <row r="20" spans="1:22" s="427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545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5450"/>
      <c r="F22" s="5450"/>
      <c r="G22" s="5450"/>
      <c r="H22" s="5450"/>
      <c r="I22" s="5450"/>
      <c r="J22" s="614"/>
      <c r="K22" s="475"/>
      <c r="V22" s="443">
        <v>22</v>
      </c>
    </row>
    <row r="23" spans="1:22" ht="15.75" customHeight="1">
      <c r="C23" s="114"/>
      <c r="D23" s="5423" t="str">
        <f>IF(org=0,"Не определено",org)</f>
        <v>КГУП "Примтеплоэнерго"</v>
      </c>
      <c r="E23" s="5423"/>
      <c r="F23" s="5423"/>
      <c r="G23" s="5423"/>
      <c r="H23" s="5423"/>
      <c r="I23" s="5423"/>
      <c r="J23" s="614"/>
      <c r="K23" s="475"/>
      <c r="V23" s="443">
        <v>15</v>
      </c>
    </row>
    <row r="24" spans="1:22" ht="15.75" customHeight="1">
      <c r="C24" s="114"/>
      <c r="D24" s="447"/>
      <c r="E24" s="447"/>
      <c r="F24" s="447"/>
      <c r="G24" s="475">
        <v>22</v>
      </c>
      <c r="H24" s="690"/>
      <c r="I24" s="475">
        <v>22</v>
      </c>
      <c r="J24" s="690"/>
      <c r="V24" s="443">
        <v>15</v>
      </c>
    </row>
    <row r="25" spans="1:22" s="4267" customFormat="1" ht="1.1499999999999999" customHeight="1">
      <c r="A25" s="695"/>
      <c r="C25" s="114"/>
      <c r="D25" s="447"/>
      <c r="E25" s="447"/>
      <c r="F25" s="447"/>
      <c r="G25" s="475"/>
      <c r="H25" s="690"/>
      <c r="I25" s="475" t="s">
        <v>149</v>
      </c>
      <c r="J25" s="690"/>
      <c r="K25" s="355"/>
      <c r="U25" s="613"/>
      <c r="V25" s="694">
        <v>1</v>
      </c>
    </row>
    <row r="26" spans="1:22" ht="15.75" customHeight="1">
      <c r="C26" s="114"/>
      <c r="D26" s="649"/>
      <c r="E26" s="5559" t="s">
        <v>141</v>
      </c>
      <c r="F26" s="5560"/>
      <c r="G26" s="5584" t="str">
        <f>IF(G25="","",INDEX(DIFFERENTIATION_UNMERGE_VD,MATCH(G25,DIFFERENTIATION_ID_DIFF,0)))</f>
        <v/>
      </c>
      <c r="H26" s="5585"/>
      <c r="I26" s="5584">
        <f>IF(I25="","",INDEX(DIFFERENTIATION_UNMERGE_VD,MATCH(I25,DIFFERENTIATION_ID_DIFF,0)))</f>
        <v>0</v>
      </c>
      <c r="J26" s="5585"/>
      <c r="K26" s="5403" t="s">
        <v>394</v>
      </c>
      <c r="V26" s="443">
        <v>15</v>
      </c>
    </row>
    <row r="27" spans="1:22" s="4267" customFormat="1" ht="15.75" customHeight="1">
      <c r="A27" s="695"/>
      <c r="C27" s="114"/>
      <c r="D27" s="649"/>
      <c r="E27" s="5559" t="s">
        <v>656</v>
      </c>
      <c r="F27" s="5560"/>
      <c r="G27" s="5584" t="str">
        <f>IF(G25="","",INDEX(DIFFERENTIATION_UNMERGE_AREA,MATCH(G25,DIFFERENTIATION_ID_DIFF,0)))</f>
        <v/>
      </c>
      <c r="H27" s="5585"/>
      <c r="I27" s="5584" t="str">
        <f>IF(I25="","",INDEX(DIFFERENTIATION_UNMERGE_AREA,MATCH(I25,DIFFERENTIATION_ID_DIFF,0)))</f>
        <v/>
      </c>
      <c r="J27" s="5585"/>
      <c r="K27" s="5407"/>
      <c r="U27" s="613"/>
      <c r="V27" s="694">
        <v>15</v>
      </c>
    </row>
    <row r="28" spans="1:22" s="4267" customFormat="1" ht="15.75" customHeight="1">
      <c r="A28" s="695"/>
      <c r="C28" s="114"/>
      <c r="D28" s="649"/>
      <c r="E28" s="5559" t="s">
        <v>657</v>
      </c>
      <c r="F28" s="5560"/>
      <c r="G28" s="5584" t="str">
        <f>IF(G25="","",INDEX(DIFFERENTIATION_UNMERGE_SYSTEM,MATCH(G25,DIFFERENTIATION_ID_DIFF,0)))</f>
        <v/>
      </c>
      <c r="H28" s="5585"/>
      <c r="I28" s="5584" t="str">
        <f>IF(I25="","",INDEX(DIFFERENTIATION_UNMERGE_SYSTEM,MATCH(I25,DIFFERENTIATION_ID_DIFF,0)))</f>
        <v>без дифференциации</v>
      </c>
      <c r="J28" s="5585"/>
      <c r="K28" s="5407"/>
      <c r="U28" s="613"/>
      <c r="V28" s="694">
        <v>15</v>
      </c>
    </row>
    <row r="29" spans="1:22" s="4267" customFormat="1" ht="15.75" customHeight="1">
      <c r="A29" s="695"/>
      <c r="C29" s="114"/>
      <c r="D29" s="5561" t="s">
        <v>393</v>
      </c>
      <c r="E29" s="5562"/>
      <c r="F29" s="5562"/>
      <c r="G29" s="814"/>
      <c r="H29" s="814"/>
      <c r="I29" s="814"/>
      <c r="J29" s="815"/>
      <c r="K29" s="5407"/>
      <c r="U29" s="613"/>
      <c r="V29" s="694">
        <v>15</v>
      </c>
    </row>
    <row r="30" spans="1:22" ht="35.65" customHeight="1">
      <c r="C30" s="114"/>
      <c r="D30" s="697" t="s">
        <v>88</v>
      </c>
      <c r="E30" s="696" t="s">
        <v>395</v>
      </c>
      <c r="F30" s="696" t="s">
        <v>658</v>
      </c>
      <c r="G30" s="740" t="s">
        <v>396</v>
      </c>
      <c r="H30" s="739" t="s">
        <v>483</v>
      </c>
      <c r="I30" s="622" t="s">
        <v>396</v>
      </c>
      <c r="J30" s="403" t="s">
        <v>483</v>
      </c>
      <c r="K30" s="5410"/>
      <c r="V30" s="443">
        <v>34</v>
      </c>
    </row>
    <row r="31" spans="1:22" ht="15" hidden="1" customHeight="1">
      <c r="C31" s="114"/>
      <c r="D31" s="531"/>
      <c r="E31" s="531"/>
      <c r="F31" s="531"/>
      <c r="G31" s="597"/>
      <c r="H31" s="597"/>
      <c r="I31" s="597"/>
      <c r="J31" s="597"/>
      <c r="K31" s="227"/>
      <c r="V31" s="443">
        <v>0</v>
      </c>
    </row>
    <row r="32" spans="1:22" ht="24" customHeight="1">
      <c r="A32" s="443"/>
      <c r="B32" s="443" t="s">
        <v>1042</v>
      </c>
      <c r="C32" s="464"/>
      <c r="D32" s="630">
        <v>1</v>
      </c>
      <c r="E32" s="631" t="s">
        <v>1043</v>
      </c>
      <c r="F32" s="629" t="s">
        <v>399</v>
      </c>
      <c r="G32" s="745" t="s">
        <v>399</v>
      </c>
      <c r="H32" s="745" t="s">
        <v>399</v>
      </c>
      <c r="I32" s="629" t="s">
        <v>399</v>
      </c>
      <c r="J32" s="629" t="s">
        <v>399</v>
      </c>
      <c r="K32" s="227"/>
      <c r="V32" s="443">
        <v>23</v>
      </c>
    </row>
    <row r="33" spans="1:22" ht="11.45" customHeight="1">
      <c r="A33" s="443"/>
      <c r="C33" s="443"/>
      <c r="D33" s="285"/>
      <c r="E33" s="518" t="s">
        <v>678</v>
      </c>
      <c r="F33" s="510"/>
      <c r="G33" s="510"/>
      <c r="H33" s="510"/>
      <c r="I33" s="510"/>
      <c r="J33" s="510"/>
      <c r="K33" s="511"/>
      <c r="U33" s="443"/>
      <c r="V33" s="443">
        <v>11</v>
      </c>
    </row>
    <row r="34" spans="1:22" ht="24" customHeight="1">
      <c r="A34" s="443"/>
      <c r="B34" s="519" t="s">
        <v>728</v>
      </c>
      <c r="C34" s="464"/>
      <c r="D34" s="630">
        <v>2</v>
      </c>
      <c r="E34" s="631" t="s">
        <v>1044</v>
      </c>
      <c r="F34" s="752" t="s">
        <v>399</v>
      </c>
      <c r="G34" s="752" t="s">
        <v>399</v>
      </c>
      <c r="H34" s="752" t="s">
        <v>399</v>
      </c>
      <c r="I34" s="629"/>
      <c r="J34" s="629"/>
      <c r="K34" s="227"/>
      <c r="V34" s="443">
        <v>23</v>
      </c>
    </row>
    <row r="35" spans="1:22" ht="11.45" customHeight="1">
      <c r="A35" s="443"/>
      <c r="C35" s="443"/>
      <c r="D35" s="285"/>
      <c r="E35" s="518" t="s">
        <v>1045</v>
      </c>
      <c r="F35" s="510"/>
      <c r="G35" s="632"/>
      <c r="H35" s="510"/>
      <c r="I35" s="632"/>
      <c r="J35" s="510"/>
      <c r="K35" s="511"/>
      <c r="U35" s="443"/>
      <c r="V35" s="443">
        <v>11</v>
      </c>
    </row>
    <row r="36" spans="1:22" ht="71.25" customHeight="1">
      <c r="A36" s="443"/>
      <c r="B36" s="443" t="s">
        <v>1046</v>
      </c>
      <c r="C36" s="464"/>
      <c r="D36" s="630">
        <v>3</v>
      </c>
      <c r="E36" s="631" t="s">
        <v>1047</v>
      </c>
      <c r="F36" s="633" t="s">
        <v>399</v>
      </c>
      <c r="G36" s="746" t="s">
        <v>1048</v>
      </c>
      <c r="H36" s="745" t="s">
        <v>399</v>
      </c>
      <c r="I36" s="462" t="s">
        <v>1048</v>
      </c>
      <c r="J36" s="629" t="s">
        <v>399</v>
      </c>
      <c r="K36" s="227" t="s">
        <v>1049</v>
      </c>
      <c r="V36" s="443">
        <v>68</v>
      </c>
    </row>
    <row r="37" spans="1:22" ht="11.45" customHeight="1">
      <c r="A37" s="443"/>
      <c r="C37" s="443"/>
      <c r="D37" s="285"/>
      <c r="E37" s="518" t="s">
        <v>1050</v>
      </c>
      <c r="F37" s="510"/>
      <c r="G37" s="632"/>
      <c r="H37" s="632"/>
      <c r="I37" s="632"/>
      <c r="J37" s="632"/>
      <c r="K37" s="511"/>
      <c r="U37" s="443"/>
      <c r="V37" s="443">
        <v>11</v>
      </c>
    </row>
    <row r="38" spans="1:22" ht="71.25" customHeight="1">
      <c r="A38" s="443"/>
      <c r="B38" s="443" t="s">
        <v>1051</v>
      </c>
      <c r="C38" s="464"/>
      <c r="D38" s="630">
        <v>4</v>
      </c>
      <c r="E38" s="631" t="s">
        <v>1052</v>
      </c>
      <c r="F38" s="633" t="s">
        <v>399</v>
      </c>
      <c r="G38" s="746" t="s">
        <v>1048</v>
      </c>
      <c r="H38" s="747" t="s">
        <v>399</v>
      </c>
      <c r="I38" s="462" t="s">
        <v>1048</v>
      </c>
      <c r="J38" s="459" t="s">
        <v>399</v>
      </c>
      <c r="K38" s="617" t="s">
        <v>1053</v>
      </c>
      <c r="V38" s="443">
        <v>68</v>
      </c>
    </row>
    <row r="39" spans="1:22" ht="11.45" customHeight="1">
      <c r="A39" s="443"/>
      <c r="C39" s="443"/>
      <c r="D39" s="285"/>
      <c r="E39" s="518" t="s">
        <v>1054</v>
      </c>
      <c r="F39" s="510"/>
      <c r="G39" s="510"/>
      <c r="H39" s="634"/>
      <c r="I39" s="510"/>
      <c r="J39" s="634"/>
      <c r="K39" s="511"/>
      <c r="U39" s="443"/>
      <c r="V39" s="443">
        <v>11</v>
      </c>
    </row>
    <row r="40" spans="1:22" ht="22.5" hidden="1" customHeight="1">
      <c r="A40" s="387" t="s">
        <v>82</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5259" hidden="1" customWidth="1"/>
    <col min="4" max="4" width="6.7109375" style="4274" hidden="1" customWidth="1"/>
    <col min="5" max="5" width="3" style="4267" customWidth="1"/>
    <col min="6" max="6" width="6" style="4267" customWidth="1"/>
    <col min="7" max="7" width="37" style="4267" customWidth="1"/>
    <col min="8" max="8" width="16" style="4267" customWidth="1"/>
    <col min="9" max="10" width="19" style="4267" customWidth="1"/>
    <col min="11" max="11" width="24" style="4267" customWidth="1"/>
    <col min="12" max="13" width="25" style="4267" customWidth="1"/>
    <col min="14" max="16" width="17" style="4267" customWidth="1"/>
    <col min="17" max="24" width="19" style="4267" customWidth="1"/>
    <col min="25" max="25" width="7" style="4267" customWidth="1"/>
    <col min="26" max="26" width="3" style="4267" customWidth="1"/>
    <col min="27" max="27" width="6" style="4267" customWidth="1"/>
    <col min="28" max="28" width="34" style="4267" customWidth="1"/>
    <col min="29" max="30" width="8" style="4267" customWidth="1"/>
    <col min="31" max="31" width="9.140625" style="4267" hidden="1"/>
  </cols>
  <sheetData>
    <row r="1" spans="1:31" s="4274" customFormat="1" ht="10.5" hidden="1" customHeight="1">
      <c r="A1" s="822"/>
      <c r="B1" s="822"/>
      <c r="C1" s="822"/>
      <c r="E1" s="475"/>
      <c r="H1" s="1081"/>
      <c r="AE1" s="355" t="s">
        <v>14</v>
      </c>
    </row>
    <row r="2" spans="1:31" ht="10.5" hidden="1" customHeight="1">
      <c r="AE2" s="694">
        <v>0</v>
      </c>
    </row>
    <row r="3" spans="1:31" s="4265" customFormat="1" ht="10.5" hidden="1" customHeight="1">
      <c r="A3" s="822"/>
      <c r="B3" s="822"/>
      <c r="C3" s="822"/>
      <c r="D3" s="355"/>
      <c r="E3" s="300"/>
      <c r="G3" s="1553" t="s">
        <v>1055</v>
      </c>
      <c r="H3" s="1077"/>
      <c r="AE3" s="695">
        <v>0</v>
      </c>
    </row>
    <row r="4" spans="1:31" ht="3" customHeight="1">
      <c r="AE4" s="694">
        <v>3</v>
      </c>
    </row>
    <row r="5" spans="1:31" ht="27.4" customHeight="1">
      <c r="F5" s="5450" t="str">
        <f>IP_NAME_FORM</f>
        <v>Форма 7. Информация об инвестиционных программах организации водоотведения и отчетах об их исполнении</v>
      </c>
      <c r="G5" s="5450"/>
      <c r="H5" s="5450"/>
      <c r="I5" s="5450"/>
      <c r="J5" s="5450"/>
      <c r="K5" s="5450"/>
      <c r="M5" s="520"/>
      <c r="AB5" s="833"/>
      <c r="AE5" s="694">
        <v>26</v>
      </c>
    </row>
    <row r="6" spans="1:31" s="4267" customFormat="1" ht="16.899999999999999" customHeight="1">
      <c r="A6" s="1087"/>
      <c r="B6" s="1087"/>
      <c r="C6" s="1087"/>
      <c r="D6" s="1081"/>
      <c r="E6" s="1556"/>
      <c r="F6" s="5423" t="str">
        <f>IF(org=0,"Не определено",org)</f>
        <v>КГУП "Примтеплоэнерго"</v>
      </c>
      <c r="G6" s="5423"/>
      <c r="H6" s="5423"/>
      <c r="I6" s="5423"/>
      <c r="J6" s="5423"/>
      <c r="K6" s="5423"/>
      <c r="M6" s="520"/>
      <c r="AB6" s="1069"/>
      <c r="AE6" s="1552">
        <v>16</v>
      </c>
    </row>
    <row r="7" spans="1:31" ht="10.5" customHeight="1">
      <c r="AE7" s="694">
        <v>10</v>
      </c>
    </row>
    <row r="8" spans="1:31" ht="10.5" customHeight="1">
      <c r="A8" s="976"/>
      <c r="B8" s="976"/>
      <c r="C8" s="976"/>
      <c r="F8" s="5309" t="s">
        <v>393</v>
      </c>
      <c r="G8" s="5314"/>
      <c r="H8" s="5314"/>
      <c r="I8" s="5314"/>
      <c r="J8" s="5314"/>
      <c r="K8" s="5314"/>
      <c r="L8" s="5314"/>
      <c r="M8" s="5314"/>
      <c r="N8" s="5314"/>
      <c r="O8" s="5314"/>
      <c r="P8" s="5314"/>
      <c r="Q8" s="5314"/>
      <c r="R8" s="5314"/>
      <c r="S8" s="5314"/>
      <c r="T8" s="5314"/>
      <c r="U8" s="5314"/>
      <c r="V8" s="5314"/>
      <c r="W8" s="5314"/>
      <c r="X8" s="5314"/>
      <c r="Y8" s="5314"/>
      <c r="Z8" s="5314"/>
      <c r="AA8" s="5314"/>
      <c r="AB8" s="5308"/>
      <c r="AE8" s="694">
        <v>10</v>
      </c>
    </row>
    <row r="9" spans="1:31" ht="43.15" customHeight="1">
      <c r="A9" s="832"/>
      <c r="B9" s="832"/>
      <c r="C9" s="832"/>
      <c r="F9" s="5328" t="s">
        <v>88</v>
      </c>
      <c r="G9" s="5328" t="s">
        <v>1055</v>
      </c>
      <c r="H9" s="5403" t="s">
        <v>1056</v>
      </c>
      <c r="I9" s="5328" t="s">
        <v>1057</v>
      </c>
      <c r="J9" s="5328" t="s">
        <v>1058</v>
      </c>
      <c r="K9" s="5328" t="s">
        <v>1059</v>
      </c>
      <c r="L9" s="5328" t="s">
        <v>1060</v>
      </c>
      <c r="M9" s="5328" t="s">
        <v>1061</v>
      </c>
      <c r="N9" s="5431" t="s">
        <v>1062</v>
      </c>
      <c r="O9" s="5431"/>
      <c r="P9" s="5431"/>
      <c r="Q9" s="5483" t="s">
        <v>1063</v>
      </c>
      <c r="R9" s="5484"/>
      <c r="S9" s="5484"/>
      <c r="T9" s="5485"/>
      <c r="U9" s="5483" t="s">
        <v>1064</v>
      </c>
      <c r="V9" s="5484"/>
      <c r="W9" s="5484"/>
      <c r="X9" s="5485"/>
      <c r="Y9" s="5309" t="s">
        <v>1065</v>
      </c>
      <c r="Z9" s="5314"/>
      <c r="AA9" s="5314"/>
      <c r="AB9" s="5308"/>
      <c r="AE9" s="694">
        <v>41</v>
      </c>
    </row>
    <row r="10" spans="1:31" ht="43.15" customHeight="1">
      <c r="A10" s="832"/>
      <c r="B10" s="832"/>
      <c r="C10" s="832"/>
      <c r="F10" s="5403"/>
      <c r="G10" s="5403"/>
      <c r="H10" s="5455"/>
      <c r="I10" s="5403"/>
      <c r="J10" s="5403"/>
      <c r="K10" s="5403"/>
      <c r="L10" s="5403"/>
      <c r="M10" s="5403"/>
      <c r="N10" s="830" t="s">
        <v>1066</v>
      </c>
      <c r="O10" s="830" t="s">
        <v>1067</v>
      </c>
      <c r="P10" s="831" t="s">
        <v>1068</v>
      </c>
      <c r="Q10" s="842" t="s">
        <v>89</v>
      </c>
      <c r="R10" s="842" t="s">
        <v>1069</v>
      </c>
      <c r="S10" s="842" t="s">
        <v>1070</v>
      </c>
      <c r="T10" s="843" t="s">
        <v>1071</v>
      </c>
      <c r="U10" s="842" t="s">
        <v>89</v>
      </c>
      <c r="V10" s="842" t="s">
        <v>1072</v>
      </c>
      <c r="W10" s="842" t="s">
        <v>1070</v>
      </c>
      <c r="X10" s="843" t="s">
        <v>1071</v>
      </c>
      <c r="Y10" s="239" t="s">
        <v>1073</v>
      </c>
      <c r="Z10" s="5309" t="s">
        <v>88</v>
      </c>
      <c r="AA10" s="5308"/>
      <c r="AB10" s="974" t="s">
        <v>1074</v>
      </c>
      <c r="AE10" s="694">
        <v>41</v>
      </c>
    </row>
    <row r="11" spans="1:31" s="4275" customFormat="1" ht="5.25" hidden="1" customHeight="1">
      <c r="A11" s="977"/>
      <c r="B11" s="977"/>
      <c r="C11" s="977"/>
      <c r="E11" s="975"/>
      <c r="F11" s="5394" t="s">
        <v>469</v>
      </c>
      <c r="G11" s="5589"/>
      <c r="H11" s="5586"/>
      <c r="I11" s="5586"/>
      <c r="J11" s="5586"/>
      <c r="K11" s="5588"/>
      <c r="L11" s="5588"/>
      <c r="M11" s="5588"/>
      <c r="N11" s="5586"/>
      <c r="O11" s="5586"/>
      <c r="P11" s="5328"/>
      <c r="Q11" s="5413"/>
      <c r="R11" s="5413"/>
      <c r="S11" s="5413"/>
      <c r="T11" s="5586"/>
      <c r="U11" s="5413"/>
      <c r="V11" s="5413"/>
      <c r="W11" s="5413"/>
      <c r="X11" s="5586"/>
      <c r="Y11" s="5339"/>
      <c r="Z11" s="5339"/>
      <c r="AA11" s="5339"/>
      <c r="AB11" s="5339"/>
      <c r="AD11" s="449" t="s">
        <v>1075</v>
      </c>
      <c r="AE11" s="449">
        <v>0</v>
      </c>
    </row>
    <row r="12" spans="1:31" s="4275" customFormat="1" ht="5.25" hidden="1" customHeight="1">
      <c r="A12" s="823"/>
      <c r="B12" s="823"/>
      <c r="C12" s="823"/>
      <c r="E12" s="456"/>
      <c r="F12" s="5394"/>
      <c r="G12" s="5589"/>
      <c r="H12" s="5586"/>
      <c r="I12" s="5586"/>
      <c r="J12" s="5586"/>
      <c r="K12" s="5588"/>
      <c r="L12" s="5588"/>
      <c r="M12" s="5588"/>
      <c r="N12" s="5586"/>
      <c r="O12" s="5586"/>
      <c r="P12" s="5328"/>
      <c r="Q12" s="5413"/>
      <c r="R12" s="5413"/>
      <c r="S12" s="5413"/>
      <c r="T12" s="5586"/>
      <c r="U12" s="5413"/>
      <c r="V12" s="5413"/>
      <c r="W12" s="5413"/>
      <c r="X12" s="5586"/>
      <c r="Y12" s="5587"/>
      <c r="Z12" s="5587"/>
      <c r="AA12" s="5587"/>
      <c r="AB12" s="5587"/>
      <c r="AE12" s="449">
        <v>0</v>
      </c>
    </row>
    <row r="13" spans="1:31" ht="10.5" customHeight="1">
      <c r="F13" s="829"/>
      <c r="G13" s="588" t="s">
        <v>1076</v>
      </c>
      <c r="H13" s="1089"/>
      <c r="I13" s="510"/>
      <c r="J13" s="510"/>
      <c r="K13" s="510"/>
      <c r="L13" s="510"/>
      <c r="M13" s="510"/>
      <c r="N13" s="510"/>
      <c r="O13" s="510"/>
      <c r="P13" s="510"/>
      <c r="Q13" s="510"/>
      <c r="R13" s="510"/>
      <c r="S13" s="510"/>
      <c r="T13" s="510"/>
      <c r="U13" s="510"/>
      <c r="V13" s="510"/>
      <c r="W13" s="510"/>
      <c r="X13" s="510"/>
      <c r="Y13" s="510"/>
      <c r="Z13" s="634"/>
      <c r="AA13" s="634"/>
      <c r="AB13" s="844"/>
      <c r="AE13" s="694">
        <v>10</v>
      </c>
    </row>
    <row r="14" spans="1:31" ht="10.5" customHeight="1">
      <c r="AE14" s="694">
        <v>10</v>
      </c>
    </row>
    <row r="15" spans="1:31" s="4275" customFormat="1" ht="10.5" customHeight="1">
      <c r="A15" s="1088"/>
      <c r="B15" s="1088"/>
      <c r="C15" s="1088"/>
      <c r="E15" s="456"/>
      <c r="H15" s="449">
        <f>IFERROR(MATCH("нет",IP_MAIN_DIFFERENTIATION_EVENTS_FLAG,0),0)</f>
        <v>0</v>
      </c>
      <c r="AE15" s="449">
        <v>10</v>
      </c>
    </row>
    <row r="16" spans="1:31" ht="10.5" hidden="1" customHeight="1">
      <c r="A16" s="822" t="s">
        <v>82</v>
      </c>
      <c r="B16" s="822">
        <v>0</v>
      </c>
      <c r="C16" s="822">
        <v>0</v>
      </c>
      <c r="D16" s="355">
        <v>0</v>
      </c>
      <c r="E16" s="447">
        <v>3</v>
      </c>
      <c r="F16" s="694">
        <v>6</v>
      </c>
      <c r="G16" s="694">
        <v>37</v>
      </c>
      <c r="H16" s="1076">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5259" hidden="1" customWidth="1"/>
    <col min="4" max="4" width="4.140625" style="4274" hidden="1" customWidth="1"/>
    <col min="5" max="5" width="3" style="4267" customWidth="1"/>
    <col min="6" max="6" width="14" style="4267" customWidth="1"/>
    <col min="7" max="7" width="3" style="4267" customWidth="1"/>
    <col min="8" max="8" width="7" style="4267" customWidth="1"/>
    <col min="9" max="10" width="16" style="4267" customWidth="1"/>
    <col min="11" max="11" width="25" style="4267" customWidth="1"/>
    <col min="12" max="12" width="7" style="4267" customWidth="1"/>
    <col min="13" max="13" width="15" style="4267" customWidth="1"/>
    <col min="14" max="14" width="3" style="4267" customWidth="1"/>
    <col min="15" max="15" width="4" style="4267" customWidth="1"/>
    <col min="16" max="16" width="8" style="4267" customWidth="1"/>
    <col min="17" max="17" width="21" style="4267" customWidth="1"/>
    <col min="18" max="18" width="14" style="4267" customWidth="1"/>
    <col min="19" max="20" width="17" style="4267" customWidth="1"/>
    <col min="21" max="21" width="9" style="4267" customWidth="1"/>
    <col min="22" max="22" width="12" style="4267" customWidth="1"/>
    <col min="23" max="23" width="9" style="4267" customWidth="1"/>
    <col min="24" max="24" width="21" style="4267" customWidth="1"/>
    <col min="25" max="25" width="12" style="4267" customWidth="1"/>
    <col min="26" max="26" width="3" style="4267" customWidth="1"/>
    <col min="27" max="27" width="6" style="4267" customWidth="1"/>
    <col min="28" max="28" width="38" style="4267" customWidth="1"/>
    <col min="29" max="29" width="15" style="4267" customWidth="1"/>
    <col min="30" max="30" width="37.5703125" style="4267" hidden="1" customWidth="1"/>
    <col min="31" max="31" width="15.7109375" style="4267" hidden="1" customWidth="1"/>
    <col min="32" max="34" width="16" style="4267" customWidth="1"/>
    <col min="35" max="37" width="16.7109375" style="4267" hidden="1" customWidth="1"/>
    <col min="38" max="58" width="8" style="4267" customWidth="1"/>
    <col min="59" max="59" width="9.140625" style="4267" hidden="1"/>
  </cols>
  <sheetData>
    <row r="1" spans="1:59" s="4274" customFormat="1" ht="10.5" hidden="1" customHeight="1">
      <c r="A1" s="822"/>
      <c r="B1" s="822"/>
      <c r="C1" s="822"/>
      <c r="E1" s="475"/>
      <c r="H1" s="1081"/>
      <c r="L1" s="1049"/>
      <c r="M1" s="1049"/>
      <c r="AD1" s="1049"/>
      <c r="AH1" s="1068"/>
      <c r="AI1" s="1061"/>
      <c r="BG1" s="355" t="s">
        <v>14</v>
      </c>
    </row>
    <row r="2" spans="1:59" ht="10.5" hidden="1" customHeight="1">
      <c r="BG2" s="694">
        <v>0</v>
      </c>
    </row>
    <row r="3" spans="1:59" s="4265" customFormat="1" ht="10.5" hidden="1" customHeight="1">
      <c r="A3" s="822"/>
      <c r="B3" s="822"/>
      <c r="C3" s="822"/>
      <c r="D3" s="355"/>
      <c r="E3" s="300"/>
      <c r="H3" s="1077"/>
      <c r="L3" s="1047"/>
      <c r="M3" s="1047"/>
      <c r="AD3" s="1047"/>
      <c r="AH3" s="1066"/>
      <c r="AI3" s="1059"/>
      <c r="BG3" s="695">
        <v>0</v>
      </c>
    </row>
    <row r="4" spans="1:59" ht="3" customHeight="1">
      <c r="BG4" s="694">
        <v>3</v>
      </c>
    </row>
    <row r="5" spans="1:59" ht="27.4" customHeight="1">
      <c r="F5" s="5450" t="str">
        <f>IP_NAME_FORM</f>
        <v>Форма 7. Информация об инвестиционных программах организации водоотведения и отчетах об их исполнении</v>
      </c>
      <c r="G5" s="5450"/>
      <c r="H5" s="5450"/>
      <c r="I5" s="5450"/>
      <c r="J5" s="5450"/>
      <c r="K5" s="5450"/>
      <c r="L5" s="1056"/>
      <c r="M5" s="1056"/>
      <c r="AG5" s="833"/>
      <c r="AH5" s="1069"/>
      <c r="BG5" s="694">
        <v>26</v>
      </c>
    </row>
    <row r="6" spans="1:59" ht="10.5" customHeight="1">
      <c r="F6" s="5423" t="str">
        <f>IF(org=0,"Не определено",org)</f>
        <v>КГУП "Примтеплоэнерго"</v>
      </c>
      <c r="G6" s="5423"/>
      <c r="H6" s="5423"/>
      <c r="I6" s="5423"/>
      <c r="J6" s="5423"/>
      <c r="K6" s="5423"/>
      <c r="L6" s="1057"/>
      <c r="M6" s="1057"/>
      <c r="BG6" s="694">
        <v>10</v>
      </c>
    </row>
    <row r="7" spans="1:59" ht="11.45" customHeight="1">
      <c r="E7" s="835"/>
      <c r="F7" s="846"/>
      <c r="G7" s="846"/>
      <c r="H7" s="1105"/>
      <c r="I7" s="846"/>
      <c r="J7" s="846"/>
      <c r="K7" s="848"/>
      <c r="L7" s="1054"/>
      <c r="M7" s="1054"/>
      <c r="N7" s="846"/>
      <c r="O7" s="846"/>
      <c r="P7" s="846"/>
      <c r="Q7" s="848"/>
      <c r="R7" s="846"/>
      <c r="S7" s="846"/>
      <c r="T7" s="846"/>
      <c r="U7" s="846"/>
      <c r="V7" s="846"/>
      <c r="W7" s="846"/>
      <c r="X7" s="846"/>
      <c r="Y7" s="846"/>
      <c r="Z7" s="846"/>
      <c r="AA7" s="846"/>
      <c r="AB7" s="846"/>
      <c r="AC7" s="847"/>
      <c r="AD7" s="1053"/>
      <c r="AE7" s="847"/>
      <c r="AF7" s="846"/>
      <c r="AG7" s="846"/>
      <c r="AH7" s="1071"/>
      <c r="AI7" s="1064"/>
      <c r="AJ7" s="846"/>
      <c r="AK7" s="846"/>
      <c r="AL7" s="837"/>
      <c r="AM7" s="837"/>
      <c r="AN7" s="837"/>
      <c r="AO7" s="834"/>
      <c r="AP7" s="834"/>
      <c r="AQ7" s="834"/>
      <c r="AR7" s="834"/>
      <c r="AS7" s="834"/>
      <c r="AT7" s="834"/>
      <c r="AU7" s="834"/>
      <c r="AV7" s="834"/>
      <c r="AW7" s="834"/>
      <c r="AX7" s="834"/>
      <c r="AY7" s="834"/>
      <c r="AZ7" s="834"/>
      <c r="BA7" s="834"/>
      <c r="BB7" s="834"/>
      <c r="BC7" s="834"/>
      <c r="BD7" s="834"/>
      <c r="BE7" s="834"/>
      <c r="BF7" s="834"/>
      <c r="BG7" s="694">
        <v>11</v>
      </c>
    </row>
    <row r="8" spans="1:59" ht="10.5" customHeight="1">
      <c r="E8" s="835"/>
      <c r="F8" s="5592" t="s">
        <v>393</v>
      </c>
      <c r="G8" s="5593"/>
      <c r="H8" s="5593"/>
      <c r="I8" s="5593"/>
      <c r="J8" s="5593"/>
      <c r="K8" s="5593"/>
      <c r="L8" s="5593"/>
      <c r="M8" s="5593"/>
      <c r="N8" s="5593"/>
      <c r="O8" s="5593"/>
      <c r="P8" s="5593"/>
      <c r="Q8" s="5593"/>
      <c r="R8" s="5593"/>
      <c r="S8" s="5593"/>
      <c r="T8" s="5593"/>
      <c r="U8" s="5593"/>
      <c r="V8" s="5593"/>
      <c r="W8" s="5593"/>
      <c r="X8" s="5593"/>
      <c r="Y8" s="5593"/>
      <c r="Z8" s="5593"/>
      <c r="AA8" s="5593"/>
      <c r="AB8" s="5593"/>
      <c r="AC8" s="5593"/>
      <c r="AD8" s="5593"/>
      <c r="AE8" s="5593"/>
      <c r="AF8" s="5593"/>
      <c r="AG8" s="5593"/>
      <c r="AH8" s="5593"/>
      <c r="AI8" s="5593"/>
      <c r="AJ8" s="5593"/>
      <c r="AK8" s="5594"/>
      <c r="AL8" s="836"/>
      <c r="AM8" s="834"/>
      <c r="AN8" s="834"/>
      <c r="AO8" s="834"/>
      <c r="AP8" s="834"/>
      <c r="AQ8" s="834"/>
      <c r="AR8" s="834"/>
      <c r="AS8" s="834"/>
      <c r="AT8" s="834"/>
      <c r="AU8" s="834"/>
      <c r="AV8" s="834"/>
      <c r="AW8" s="834"/>
      <c r="AX8" s="834"/>
      <c r="AY8" s="834"/>
      <c r="AZ8" s="834"/>
      <c r="BA8" s="834"/>
      <c r="BB8" s="834"/>
      <c r="BC8" s="834"/>
      <c r="BD8" s="834"/>
      <c r="BE8" s="834"/>
      <c r="BF8" s="834"/>
      <c r="BG8" s="694">
        <v>10</v>
      </c>
    </row>
    <row r="9" spans="1:59" ht="24" customHeight="1">
      <c r="A9" s="832"/>
      <c r="B9" s="832"/>
      <c r="C9" s="832"/>
      <c r="E9" s="835"/>
      <c r="F9" s="5431" t="s">
        <v>1077</v>
      </c>
      <c r="G9" s="5531" t="s">
        <v>1078</v>
      </c>
      <c r="H9" s="5575"/>
      <c r="I9" s="5328" t="s">
        <v>1079</v>
      </c>
      <c r="J9" s="5328"/>
      <c r="K9" s="5328" t="s">
        <v>1080</v>
      </c>
      <c r="L9" s="5328"/>
      <c r="M9" s="5328"/>
      <c r="N9" s="5328"/>
      <c r="O9" s="5328"/>
      <c r="P9" s="5328"/>
      <c r="Q9" s="5328"/>
      <c r="R9" s="5328"/>
      <c r="S9" s="5328"/>
      <c r="T9" s="5328"/>
      <c r="U9" s="5328"/>
      <c r="V9" s="5328"/>
      <c r="W9" s="5328"/>
      <c r="X9" s="5328"/>
      <c r="Y9" s="5328"/>
      <c r="Z9" s="5404" t="s">
        <v>1081</v>
      </c>
      <c r="AA9" s="5405"/>
      <c r="AB9" s="5328" t="s">
        <v>1082</v>
      </c>
      <c r="AC9" s="5328"/>
      <c r="AD9" s="5328"/>
      <c r="AE9" s="5328"/>
      <c r="AF9" s="5403" t="s">
        <v>1083</v>
      </c>
      <c r="AG9" s="5328" t="s">
        <v>1084</v>
      </c>
      <c r="AH9" s="5328"/>
      <c r="AI9" s="5403" t="s">
        <v>1085</v>
      </c>
      <c r="AJ9" s="5328" t="s">
        <v>1086</v>
      </c>
      <c r="AK9" s="5328"/>
      <c r="AL9" s="1063"/>
      <c r="AM9" s="834"/>
      <c r="AN9" s="834"/>
      <c r="AO9" s="834"/>
      <c r="AP9" s="834"/>
      <c r="AQ9" s="834"/>
      <c r="AR9" s="834"/>
      <c r="AS9" s="834"/>
      <c r="AT9" s="834"/>
      <c r="AU9" s="834"/>
      <c r="AV9" s="834"/>
      <c r="AW9" s="834"/>
      <c r="AX9" s="834"/>
      <c r="AY9" s="834"/>
      <c r="AZ9" s="834"/>
      <c r="BA9" s="834"/>
      <c r="BB9" s="834"/>
      <c r="BC9" s="834"/>
      <c r="BD9" s="834"/>
      <c r="BE9" s="834"/>
      <c r="BF9" s="834"/>
      <c r="BG9" s="694">
        <v>23</v>
      </c>
    </row>
    <row r="10" spans="1:59" ht="25.15" customHeight="1">
      <c r="A10" s="832"/>
      <c r="B10" s="832"/>
      <c r="C10" s="832"/>
      <c r="E10" s="839"/>
      <c r="F10" s="5431"/>
      <c r="G10" s="5532"/>
      <c r="H10" s="5435"/>
      <c r="I10" s="5328"/>
      <c r="J10" s="5328"/>
      <c r="K10" s="5328" t="s">
        <v>1087</v>
      </c>
      <c r="L10" s="5309" t="s">
        <v>1088</v>
      </c>
      <c r="M10" s="5308"/>
      <c r="N10" s="5328" t="s">
        <v>1089</v>
      </c>
      <c r="O10" s="5328"/>
      <c r="P10" s="5328"/>
      <c r="Q10" s="5328"/>
      <c r="R10" s="5328"/>
      <c r="S10" s="5328"/>
      <c r="T10" s="5328"/>
      <c r="U10" s="5328"/>
      <c r="V10" s="5328"/>
      <c r="W10" s="5328"/>
      <c r="X10" s="5328"/>
      <c r="Y10" s="5328"/>
      <c r="Z10" s="5406"/>
      <c r="AA10" s="5407"/>
      <c r="AB10" s="5328"/>
      <c r="AC10" s="5328"/>
      <c r="AD10" s="5328"/>
      <c r="AE10" s="5328"/>
      <c r="AF10" s="5408"/>
      <c r="AG10" s="5328"/>
      <c r="AH10" s="5328"/>
      <c r="AI10" s="5408"/>
      <c r="AJ10" s="5328"/>
      <c r="AK10" s="5328"/>
      <c r="AL10" s="1063"/>
      <c r="AM10" s="840"/>
      <c r="AN10" s="840"/>
      <c r="AO10" s="840"/>
      <c r="AP10" s="840"/>
      <c r="AQ10" s="840"/>
      <c r="AR10" s="840"/>
      <c r="AS10" s="840"/>
      <c r="AT10" s="840"/>
      <c r="AU10" s="840"/>
      <c r="AV10" s="840"/>
      <c r="AW10" s="840"/>
      <c r="AX10" s="840"/>
      <c r="AY10" s="840"/>
      <c r="AZ10" s="840"/>
      <c r="BA10" s="840"/>
      <c r="BB10" s="840"/>
      <c r="BC10" s="840"/>
      <c r="BD10" s="840"/>
      <c r="BE10" s="840"/>
      <c r="BF10" s="840"/>
      <c r="BG10" s="694">
        <v>24</v>
      </c>
    </row>
    <row r="11" spans="1:59" s="4267" customFormat="1" ht="25.15" customHeight="1">
      <c r="A11" s="1050"/>
      <c r="B11" s="1050"/>
      <c r="C11" s="1050"/>
      <c r="D11" s="1049"/>
      <c r="E11" s="1051"/>
      <c r="F11" s="5431"/>
      <c r="G11" s="5532"/>
      <c r="H11" s="5435"/>
      <c r="I11" s="5328"/>
      <c r="J11" s="5328"/>
      <c r="K11" s="5328"/>
      <c r="L11" s="5403" t="s">
        <v>1090</v>
      </c>
      <c r="M11" s="5403" t="s">
        <v>1091</v>
      </c>
      <c r="N11" s="5328" t="s">
        <v>1092</v>
      </c>
      <c r="O11" s="5328"/>
      <c r="P11" s="5390" t="s">
        <v>1073</v>
      </c>
      <c r="Q11" s="5390" t="s">
        <v>1093</v>
      </c>
      <c r="R11" s="5390" t="s">
        <v>1094</v>
      </c>
      <c r="S11" s="5390" t="s">
        <v>1095</v>
      </c>
      <c r="T11" s="5390"/>
      <c r="U11" s="5390"/>
      <c r="V11" s="5390"/>
      <c r="W11" s="5390"/>
      <c r="X11" s="5390"/>
      <c r="Y11" s="5390"/>
      <c r="Z11" s="5406"/>
      <c r="AA11" s="5407"/>
      <c r="AB11" s="5328" t="s">
        <v>1096</v>
      </c>
      <c r="AC11" s="5328"/>
      <c r="AD11" s="5309" t="s">
        <v>1097</v>
      </c>
      <c r="AE11" s="5308"/>
      <c r="AF11" s="5408"/>
      <c r="AG11" s="5328"/>
      <c r="AH11" s="5328"/>
      <c r="AI11" s="5408"/>
      <c r="AJ11" s="5328"/>
      <c r="AK11" s="5328"/>
      <c r="AL11" s="1063"/>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6">
        <v>24</v>
      </c>
    </row>
    <row r="12" spans="1:59" ht="35.65" customHeight="1">
      <c r="A12" s="832"/>
      <c r="B12" s="832"/>
      <c r="C12" s="832"/>
      <c r="E12" s="835"/>
      <c r="F12" s="5431"/>
      <c r="G12" s="5533"/>
      <c r="H12" s="5591"/>
      <c r="I12" s="1074" t="s">
        <v>89</v>
      </c>
      <c r="J12" s="1074" t="s">
        <v>1098</v>
      </c>
      <c r="K12" s="5328"/>
      <c r="L12" s="5455"/>
      <c r="M12" s="5455"/>
      <c r="N12" s="5328"/>
      <c r="O12" s="5328"/>
      <c r="P12" s="5390"/>
      <c r="Q12" s="5390"/>
      <c r="R12" s="5390"/>
      <c r="S12" s="1055" t="s">
        <v>86</v>
      </c>
      <c r="T12" s="1055" t="s">
        <v>87</v>
      </c>
      <c r="U12" s="1055" t="s">
        <v>85</v>
      </c>
      <c r="V12" s="1055" t="s">
        <v>1099</v>
      </c>
      <c r="W12" s="1055" t="s">
        <v>85</v>
      </c>
      <c r="X12" s="1055" t="s">
        <v>1100</v>
      </c>
      <c r="Y12" s="1055" t="s">
        <v>1101</v>
      </c>
      <c r="Z12" s="5409"/>
      <c r="AA12" s="5410"/>
      <c r="AB12" s="1062" t="s">
        <v>1102</v>
      </c>
      <c r="AC12" s="1062" t="s">
        <v>1103</v>
      </c>
      <c r="AD12" s="1062" t="s">
        <v>1102</v>
      </c>
      <c r="AE12" s="1062" t="s">
        <v>1103</v>
      </c>
      <c r="AF12" s="5455"/>
      <c r="AG12" s="1075" t="s">
        <v>1104</v>
      </c>
      <c r="AH12" s="1075" t="s">
        <v>1105</v>
      </c>
      <c r="AI12" s="5455"/>
      <c r="AJ12" s="1075" t="s">
        <v>1104</v>
      </c>
      <c r="AK12" s="1075" t="s">
        <v>1105</v>
      </c>
      <c r="AL12" s="1063"/>
      <c r="AM12" s="834"/>
      <c r="AN12" s="834"/>
      <c r="AO12" s="834"/>
      <c r="AP12" s="834"/>
      <c r="AQ12" s="834"/>
      <c r="AR12" s="834"/>
      <c r="AS12" s="834"/>
      <c r="AT12" s="834"/>
      <c r="AU12" s="834"/>
      <c r="AV12" s="834"/>
      <c r="AW12" s="834"/>
      <c r="AX12" s="834"/>
      <c r="AY12" s="834"/>
      <c r="AZ12" s="834"/>
      <c r="BA12" s="834"/>
      <c r="BB12" s="834"/>
      <c r="BC12" s="834"/>
      <c r="BD12" s="834"/>
      <c r="BE12" s="834"/>
      <c r="BF12" s="834"/>
      <c r="BG12" s="694">
        <v>34</v>
      </c>
    </row>
    <row r="13" spans="1:59" ht="1.1499999999999999" customHeight="1">
      <c r="E13" s="835"/>
      <c r="F13" s="1045">
        <v>0</v>
      </c>
      <c r="G13" s="1045"/>
      <c r="H13" s="1045"/>
      <c r="I13" s="1045"/>
      <c r="J13" s="1045"/>
      <c r="K13" s="1052"/>
      <c r="L13" s="1052"/>
      <c r="M13" s="1052"/>
      <c r="N13" s="1052"/>
      <c r="O13" s="1052"/>
      <c r="P13" s="1052"/>
      <c r="Q13" s="1052"/>
      <c r="R13" s="1052"/>
      <c r="S13" s="1052"/>
      <c r="T13" s="1052"/>
      <c r="U13" s="1052"/>
      <c r="V13" s="1052"/>
      <c r="W13" s="1052"/>
      <c r="X13" s="1052"/>
      <c r="Y13" s="1052"/>
      <c r="Z13" s="1052"/>
      <c r="AA13" s="1052"/>
      <c r="AB13" s="1052"/>
      <c r="AC13" s="1052"/>
      <c r="AD13" s="1052"/>
      <c r="AE13" s="1052"/>
      <c r="AF13" s="1052"/>
      <c r="AG13" s="1052"/>
      <c r="AH13" s="1070"/>
      <c r="AI13" s="1063"/>
      <c r="AJ13" s="1052"/>
      <c r="AK13" s="1052"/>
      <c r="AL13" s="836"/>
      <c r="AM13" s="834"/>
      <c r="AN13" s="834"/>
      <c r="AO13" s="834"/>
      <c r="AP13" s="834"/>
      <c r="AQ13" s="834"/>
      <c r="AR13" s="834"/>
      <c r="AS13" s="834"/>
      <c r="AT13" s="834"/>
      <c r="AU13" s="834"/>
      <c r="AV13" s="834"/>
      <c r="AW13" s="834"/>
      <c r="AX13" s="834"/>
      <c r="AY13" s="834"/>
      <c r="AZ13" s="834"/>
      <c r="BA13" s="834"/>
      <c r="BB13" s="834"/>
      <c r="BC13" s="834"/>
      <c r="BD13" s="834"/>
      <c r="BE13" s="834"/>
      <c r="BF13" s="834"/>
      <c r="BG13" s="694">
        <v>1</v>
      </c>
    </row>
    <row r="14" spans="1:59" ht="10.5" customHeight="1">
      <c r="E14" s="834"/>
      <c r="F14" s="845"/>
      <c r="G14" s="845"/>
      <c r="H14" s="1093"/>
      <c r="I14" s="845"/>
      <c r="J14" s="845"/>
      <c r="K14" s="845"/>
      <c r="L14" s="1052"/>
      <c r="M14" s="1052"/>
      <c r="N14" s="845"/>
      <c r="O14" s="845"/>
      <c r="P14" s="845"/>
      <c r="Q14" s="845"/>
      <c r="R14" s="845"/>
      <c r="S14" s="845"/>
      <c r="T14" s="845"/>
      <c r="U14" s="845"/>
      <c r="V14" s="845"/>
      <c r="W14" s="845"/>
      <c r="X14" s="845"/>
      <c r="Y14" s="845"/>
      <c r="Z14" s="845"/>
      <c r="AA14" s="845"/>
      <c r="AB14" s="845"/>
      <c r="AC14" s="845"/>
      <c r="AD14" s="1052"/>
      <c r="AE14" s="845"/>
      <c r="AF14" s="845"/>
      <c r="AG14" s="845"/>
      <c r="AH14" s="1070"/>
      <c r="AI14" s="1063"/>
      <c r="AJ14" s="845"/>
      <c r="AK14" s="845"/>
      <c r="AL14" s="834"/>
      <c r="AM14" s="834"/>
      <c r="AN14" s="834"/>
      <c r="AO14" s="834"/>
      <c r="AP14" s="834"/>
      <c r="AQ14" s="834"/>
      <c r="AR14" s="834"/>
      <c r="AS14" s="834"/>
      <c r="AT14" s="834"/>
      <c r="AU14" s="834"/>
      <c r="AV14" s="834"/>
      <c r="AW14" s="834"/>
      <c r="AX14" s="834"/>
      <c r="AY14" s="834"/>
      <c r="AZ14" s="834"/>
      <c r="BA14" s="834"/>
      <c r="BB14" s="834"/>
      <c r="BC14" s="834"/>
      <c r="BD14" s="834"/>
      <c r="BE14" s="834"/>
      <c r="BF14" s="834"/>
      <c r="BG14" s="694">
        <v>10</v>
      </c>
    </row>
    <row r="15" spans="1:59" ht="13.5" customHeight="1">
      <c r="E15" s="834"/>
      <c r="F15" s="841" t="s">
        <v>1106</v>
      </c>
      <c r="G15" s="841"/>
      <c r="H15" s="1092"/>
      <c r="I15" s="841"/>
      <c r="J15" s="841"/>
      <c r="K15" s="838"/>
      <c r="L15" s="1048"/>
      <c r="M15" s="1048"/>
      <c r="N15" s="840"/>
      <c r="O15" s="840"/>
      <c r="P15" s="840"/>
      <c r="Q15" s="840"/>
      <c r="R15" s="840"/>
      <c r="S15" s="840"/>
      <c r="T15" s="840"/>
      <c r="U15" s="840"/>
      <c r="V15" s="840"/>
      <c r="W15" s="840"/>
      <c r="X15" s="840"/>
      <c r="Y15" s="840"/>
      <c r="Z15" s="838"/>
      <c r="AA15" s="838"/>
      <c r="AB15" s="838"/>
      <c r="AC15" s="838"/>
      <c r="AD15" s="1048"/>
      <c r="AE15" s="838"/>
      <c r="AF15" s="838"/>
      <c r="AG15" s="838"/>
      <c r="AH15" s="1067"/>
      <c r="AI15" s="1060"/>
      <c r="AJ15" s="838"/>
      <c r="AK15" s="838"/>
      <c r="AL15" s="834"/>
      <c r="AM15" s="834"/>
      <c r="AN15" s="834"/>
      <c r="AO15" s="834"/>
      <c r="AP15" s="834"/>
      <c r="AQ15" s="834"/>
      <c r="AR15" s="834"/>
      <c r="AS15" s="834"/>
      <c r="AT15" s="834"/>
      <c r="AU15" s="834"/>
      <c r="AV15" s="834"/>
      <c r="AW15" s="834"/>
      <c r="AX15" s="834"/>
      <c r="AY15" s="834"/>
      <c r="AZ15" s="834"/>
      <c r="BA15" s="834"/>
      <c r="BB15" s="834"/>
      <c r="BC15" s="834"/>
      <c r="BD15" s="834"/>
      <c r="BE15" s="834"/>
      <c r="BF15" s="834"/>
      <c r="BG15" s="694">
        <v>13</v>
      </c>
    </row>
    <row r="16" spans="1:59" ht="10.5" customHeight="1">
      <c r="BG16" s="694">
        <v>10</v>
      </c>
    </row>
    <row r="17" spans="1:59" ht="10.5" customHeight="1">
      <c r="E17" s="834"/>
      <c r="F17" s="5590"/>
      <c r="G17" s="5590"/>
      <c r="H17" s="5590"/>
      <c r="I17" s="5590"/>
      <c r="J17" s="5590"/>
      <c r="K17" s="838"/>
      <c r="L17" s="1048"/>
      <c r="M17" s="1048"/>
      <c r="N17" s="840"/>
      <c r="O17" s="840"/>
      <c r="P17" s="840"/>
      <c r="Q17" s="840"/>
      <c r="R17" s="840"/>
      <c r="S17" s="840"/>
      <c r="T17" s="840"/>
      <c r="U17" s="840"/>
      <c r="V17" s="840"/>
      <c r="W17" s="840"/>
      <c r="X17" s="840"/>
      <c r="Y17" s="840"/>
      <c r="Z17" s="838"/>
      <c r="AA17" s="838"/>
      <c r="AB17" s="838"/>
      <c r="AC17" s="838"/>
      <c r="AD17" s="1048"/>
      <c r="AE17" s="838"/>
      <c r="AF17" s="838"/>
      <c r="AG17" s="838"/>
      <c r="AH17" s="1067"/>
      <c r="AI17" s="1060"/>
      <c r="AJ17" s="838"/>
      <c r="AK17" s="838"/>
      <c r="AL17" s="834"/>
      <c r="AM17" s="834"/>
      <c r="AN17" s="834"/>
      <c r="AO17" s="834"/>
      <c r="AP17" s="834"/>
      <c r="AQ17" s="834"/>
      <c r="AR17" s="834"/>
      <c r="AS17" s="834"/>
      <c r="AT17" s="834"/>
      <c r="AU17" s="834"/>
      <c r="AV17" s="834"/>
      <c r="AW17" s="834"/>
      <c r="AX17" s="834"/>
      <c r="AY17" s="834"/>
      <c r="AZ17" s="834"/>
      <c r="BA17" s="834"/>
      <c r="BB17" s="834"/>
      <c r="BC17" s="834"/>
      <c r="BD17" s="834"/>
      <c r="BE17" s="834"/>
      <c r="BF17" s="834"/>
      <c r="BG17" s="694">
        <v>10</v>
      </c>
    </row>
    <row r="18" spans="1:59" ht="10.5" customHeight="1">
      <c r="E18" s="834"/>
      <c r="F18" s="5590"/>
      <c r="G18" s="5590"/>
      <c r="H18" s="5590"/>
      <c r="I18" s="5590"/>
      <c r="J18" s="5590"/>
      <c r="K18" s="838"/>
      <c r="L18" s="1048"/>
      <c r="M18" s="1048"/>
      <c r="N18" s="840"/>
      <c r="O18" s="840"/>
      <c r="P18" s="840"/>
      <c r="Q18" s="840"/>
      <c r="R18" s="840"/>
      <c r="S18" s="840"/>
      <c r="T18" s="840"/>
      <c r="U18" s="840"/>
      <c r="V18" s="840"/>
      <c r="W18" s="840"/>
      <c r="X18" s="840"/>
      <c r="Y18" s="840"/>
      <c r="Z18" s="838"/>
      <c r="AA18" s="838"/>
      <c r="AB18" s="838"/>
      <c r="AC18" s="838"/>
      <c r="AD18" s="1048"/>
      <c r="AE18" s="838"/>
      <c r="AF18" s="838"/>
      <c r="AG18" s="838"/>
      <c r="AH18" s="1067"/>
      <c r="AI18" s="1060"/>
      <c r="AJ18" s="838"/>
      <c r="AK18" s="838"/>
      <c r="AL18" s="834"/>
      <c r="AM18" s="834"/>
      <c r="AN18" s="834"/>
      <c r="AO18" s="834"/>
      <c r="AP18" s="834"/>
      <c r="AQ18" s="834"/>
      <c r="AR18" s="834"/>
      <c r="AS18" s="834"/>
      <c r="AT18" s="834"/>
      <c r="AU18" s="834"/>
      <c r="AV18" s="834"/>
      <c r="AW18" s="834"/>
      <c r="AX18" s="834"/>
      <c r="AY18" s="834"/>
      <c r="AZ18" s="834"/>
      <c r="BA18" s="834"/>
      <c r="BB18" s="834"/>
      <c r="BC18" s="834"/>
      <c r="BD18" s="834"/>
      <c r="BE18" s="834"/>
      <c r="BF18" s="834"/>
      <c r="BG18" s="694">
        <v>10</v>
      </c>
    </row>
    <row r="19" spans="1:59" ht="10.5" customHeight="1">
      <c r="E19" s="834"/>
      <c r="F19" s="5590"/>
      <c r="G19" s="5590"/>
      <c r="H19" s="5590"/>
      <c r="I19" s="5590"/>
      <c r="J19" s="5590"/>
      <c r="K19" s="838"/>
      <c r="L19" s="1048"/>
      <c r="M19" s="1048"/>
      <c r="N19" s="840"/>
      <c r="O19" s="840"/>
      <c r="P19" s="840"/>
      <c r="Q19" s="840"/>
      <c r="R19" s="840"/>
      <c r="S19" s="840"/>
      <c r="T19" s="840"/>
      <c r="U19" s="840"/>
      <c r="V19" s="840"/>
      <c r="W19" s="840"/>
      <c r="X19" s="840"/>
      <c r="Y19" s="840"/>
      <c r="Z19" s="838"/>
      <c r="AA19" s="838"/>
      <c r="AB19" s="838"/>
      <c r="AC19" s="838"/>
      <c r="AD19" s="1048"/>
      <c r="AE19" s="838"/>
      <c r="AF19" s="838"/>
      <c r="AG19" s="838"/>
      <c r="AH19" s="1067"/>
      <c r="AI19" s="1060"/>
      <c r="AJ19" s="838"/>
      <c r="AK19" s="838"/>
      <c r="AL19" s="834"/>
      <c r="AM19" s="834"/>
      <c r="AN19" s="834"/>
      <c r="AO19" s="834"/>
      <c r="AP19" s="834"/>
      <c r="AQ19" s="834"/>
      <c r="AR19" s="834"/>
      <c r="AS19" s="834"/>
      <c r="AT19" s="834"/>
      <c r="AU19" s="834"/>
      <c r="AV19" s="834"/>
      <c r="AW19" s="834"/>
      <c r="AX19" s="834"/>
      <c r="AY19" s="834"/>
      <c r="AZ19" s="834"/>
      <c r="BA19" s="834"/>
      <c r="BB19" s="834"/>
      <c r="BC19" s="834"/>
      <c r="BD19" s="834"/>
      <c r="BE19" s="834"/>
      <c r="BF19" s="834"/>
      <c r="BG19" s="694">
        <v>10</v>
      </c>
    </row>
    <row r="20" spans="1:59" ht="10.5" hidden="1" customHeight="1">
      <c r="A20" s="822" t="s">
        <v>82</v>
      </c>
      <c r="B20" s="822">
        <v>0</v>
      </c>
      <c r="C20" s="822">
        <v>0</v>
      </c>
      <c r="D20" s="355">
        <v>0</v>
      </c>
      <c r="E20" s="447">
        <v>3</v>
      </c>
      <c r="F20" s="694">
        <v>14</v>
      </c>
      <c r="G20" s="694">
        <v>3</v>
      </c>
      <c r="H20" s="1076">
        <v>7</v>
      </c>
      <c r="I20" s="694">
        <v>16</v>
      </c>
      <c r="J20" s="694">
        <v>16</v>
      </c>
      <c r="K20" s="694">
        <v>25</v>
      </c>
      <c r="L20" s="1046">
        <v>7</v>
      </c>
      <c r="M20" s="1046">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46">
        <v>0</v>
      </c>
      <c r="AE20" s="694">
        <v>0</v>
      </c>
      <c r="AF20" s="694">
        <v>16</v>
      </c>
      <c r="AG20" s="694">
        <v>16</v>
      </c>
      <c r="AH20" s="1065">
        <v>16</v>
      </c>
      <c r="AI20" s="1058">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5259" hidden="1" customWidth="1"/>
    <col min="4" max="4" width="4.140625" style="4274" hidden="1" customWidth="1"/>
    <col min="5" max="5" width="3" style="4267" customWidth="1"/>
    <col min="6" max="6" width="6" style="4267" customWidth="1"/>
    <col min="7" max="7" width="60" style="4267" customWidth="1"/>
    <col min="8" max="9" width="21.7109375" style="4267" hidden="1" customWidth="1"/>
    <col min="10" max="10" width="0.140625" style="4267" customWidth="1"/>
    <col min="11" max="11" width="1" style="4267" customWidth="1"/>
    <col min="12" max="22" width="8" style="4267" customWidth="1"/>
    <col min="23" max="23" width="9.140625" style="4267" hidden="1"/>
  </cols>
  <sheetData>
    <row r="1" spans="1:23" s="4274" customFormat="1" ht="10.5" hidden="1" customHeight="1">
      <c r="A1" s="1087"/>
      <c r="B1" s="1087"/>
      <c r="C1" s="1087"/>
      <c r="E1" s="475"/>
      <c r="W1" s="1081" t="s">
        <v>14</v>
      </c>
    </row>
    <row r="2" spans="1:23" ht="10.5" hidden="1" customHeight="1">
      <c r="W2" s="1076">
        <v>0</v>
      </c>
    </row>
    <row r="3" spans="1:23" s="4265" customFormat="1" ht="10.5" hidden="1" customHeight="1">
      <c r="A3" s="1087"/>
      <c r="B3" s="1087"/>
      <c r="C3" s="1087"/>
      <c r="D3" s="1081"/>
      <c r="E3" s="300"/>
      <c r="W3" s="1077">
        <v>0</v>
      </c>
    </row>
    <row r="4" spans="1:23" ht="3" customHeight="1">
      <c r="W4" s="1076">
        <v>3</v>
      </c>
    </row>
    <row r="5" spans="1:23" ht="27.4" customHeight="1">
      <c r="F5" s="5450"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5450"/>
      <c r="H5" s="5450"/>
      <c r="I5" s="5450"/>
      <c r="J5" s="5450"/>
      <c r="W5" s="1076">
        <v>26</v>
      </c>
    </row>
    <row r="6" spans="1:23" ht="10.5" customHeight="1">
      <c r="F6" s="5423" t="str">
        <f>IF(org=0,"Не определено",org)</f>
        <v>КГУП "Примтеплоэнерго"</v>
      </c>
      <c r="G6" s="5423"/>
      <c r="H6" s="5423"/>
      <c r="I6" s="5423"/>
      <c r="J6" s="5423"/>
      <c r="W6" s="1076">
        <v>10</v>
      </c>
    </row>
    <row r="7" spans="1:23" ht="11.45" customHeight="1">
      <c r="E7" s="1091"/>
      <c r="F7" s="1148"/>
      <c r="G7" s="1148"/>
      <c r="H7" s="1148"/>
      <c r="I7" s="1148"/>
      <c r="J7" s="1148"/>
      <c r="K7" s="1078"/>
      <c r="L7" s="1078"/>
      <c r="M7" s="1078"/>
      <c r="N7" s="1078"/>
      <c r="O7" s="1078"/>
      <c r="P7" s="1078"/>
      <c r="Q7" s="1078"/>
      <c r="R7" s="1078"/>
      <c r="S7" s="1078"/>
      <c r="T7" s="1078"/>
      <c r="U7" s="1078"/>
      <c r="V7" s="1078"/>
      <c r="W7" s="1076">
        <v>11</v>
      </c>
    </row>
    <row r="8" spans="1:23" s="4275" customFormat="1" ht="4.1500000000000004" customHeight="1">
      <c r="A8" s="1088"/>
      <c r="B8" s="1088"/>
      <c r="C8" s="1088"/>
      <c r="E8" s="1149"/>
      <c r="F8" s="1150"/>
      <c r="G8" s="1150"/>
      <c r="H8" s="1150"/>
      <c r="I8" s="1150"/>
      <c r="J8" s="1150"/>
      <c r="K8" s="1149"/>
      <c r="L8" s="1149"/>
      <c r="M8" s="1149"/>
      <c r="N8" s="1149"/>
      <c r="O8" s="1149"/>
      <c r="P8" s="1149"/>
      <c r="Q8" s="1149"/>
      <c r="R8" s="1149"/>
      <c r="S8" s="1149"/>
      <c r="T8" s="1149"/>
      <c r="U8" s="1149"/>
      <c r="V8" s="1149"/>
      <c r="W8" s="449">
        <v>4</v>
      </c>
    </row>
    <row r="9" spans="1:23" ht="10.5" customHeight="1">
      <c r="E9" s="1091"/>
      <c r="F9" s="5595" t="s">
        <v>393</v>
      </c>
      <c r="G9" s="5596"/>
      <c r="H9" s="5596"/>
      <c r="I9" s="5596"/>
      <c r="J9" s="5596"/>
      <c r="K9" s="1161"/>
      <c r="L9" s="1078"/>
      <c r="M9" s="1078"/>
      <c r="N9" s="1078"/>
      <c r="O9" s="1078"/>
      <c r="P9" s="1078"/>
      <c r="Q9" s="1078"/>
      <c r="R9" s="1078"/>
      <c r="S9" s="1078"/>
      <c r="T9" s="1078"/>
      <c r="U9" s="1078"/>
      <c r="V9" s="1078"/>
      <c r="W9" s="1076">
        <v>10</v>
      </c>
    </row>
    <row r="10" spans="1:23" ht="25.15" customHeight="1">
      <c r="E10" s="1078"/>
      <c r="F10" s="5599" t="s">
        <v>88</v>
      </c>
      <c r="G10" s="5603" t="s">
        <v>1107</v>
      </c>
      <c r="H10" s="5586" t="s">
        <v>1108</v>
      </c>
      <c r="I10" s="5586"/>
      <c r="J10" s="5586"/>
      <c r="K10" s="1154"/>
      <c r="L10" s="1078"/>
      <c r="M10" s="1078"/>
      <c r="N10" s="1078"/>
      <c r="O10" s="1078"/>
      <c r="P10" s="1078"/>
      <c r="Q10" s="1078"/>
      <c r="R10" s="1078"/>
      <c r="S10" s="1078"/>
      <c r="T10" s="1078"/>
      <c r="U10" s="1078"/>
      <c r="V10" s="1078"/>
      <c r="W10" s="1076">
        <v>24</v>
      </c>
    </row>
    <row r="11" spans="1:23" ht="25.5" customHeight="1">
      <c r="E11" s="1078"/>
      <c r="F11" s="5600"/>
      <c r="G11" s="5603"/>
      <c r="H11" s="5602" t="e">
        <f>INDEX(IP_MAIN_LIST_NAME_IP,MATCH(H8,IP_MAIN_LIST_IP_ID,0))&amp;" ("&amp;INDEX(IP_MAIN_START_DATE,MATCH(H8,IP_MAIN_LIST_IP_ID,0))&amp;"-"&amp;INDEX(IP_MAIN_END_DATE,MATCH(H8,IP_MAIN_LIST_IP_ID,0))&amp;")"</f>
        <v>#N/A</v>
      </c>
      <c r="I11" s="5602"/>
      <c r="J11" s="5602"/>
      <c r="K11" s="1154"/>
      <c r="L11" s="1078"/>
      <c r="M11" s="1078"/>
      <c r="N11" s="1078"/>
      <c r="O11" s="1078"/>
      <c r="P11" s="1078"/>
      <c r="Q11" s="1078"/>
      <c r="R11" s="1078"/>
      <c r="S11" s="1078"/>
      <c r="T11" s="1078"/>
      <c r="U11" s="1078"/>
      <c r="V11" s="1078"/>
      <c r="W11" s="1076">
        <v>24</v>
      </c>
    </row>
    <row r="12" spans="1:23" ht="10.5" customHeight="1">
      <c r="F12" s="5601"/>
      <c r="G12" s="5603"/>
      <c r="H12" s="1147" t="s">
        <v>1109</v>
      </c>
      <c r="I12" s="1153"/>
      <c r="J12" s="1147"/>
      <c r="K12" s="1155"/>
      <c r="W12" s="1076">
        <v>10</v>
      </c>
    </row>
    <row r="13" spans="1:23" ht="10.5" hidden="1" customHeight="1">
      <c r="F13" s="1147">
        <v>1</v>
      </c>
      <c r="G13" s="1147">
        <v>2</v>
      </c>
      <c r="H13" s="1147">
        <v>3</v>
      </c>
      <c r="I13" s="1147">
        <v>4</v>
      </c>
      <c r="J13" s="1147">
        <v>5</v>
      </c>
      <c r="K13" s="1155"/>
      <c r="W13" s="1076">
        <v>0</v>
      </c>
    </row>
    <row r="14" spans="1:23" ht="11.45" customHeight="1">
      <c r="F14" s="1146" t="s">
        <v>1110</v>
      </c>
      <c r="G14" s="5597" t="s">
        <v>1111</v>
      </c>
      <c r="H14" s="5597"/>
      <c r="I14" s="5597"/>
      <c r="J14" s="5597"/>
      <c r="K14" s="1155"/>
      <c r="W14" s="1076">
        <v>11</v>
      </c>
    </row>
    <row r="15" spans="1:23" ht="11.45" customHeight="1">
      <c r="F15" s="1151">
        <v>1</v>
      </c>
      <c r="G15" s="628" t="s">
        <v>1112</v>
      </c>
      <c r="H15" s="1157">
        <f t="shared" ref="H15:H36" si="0">SUM(I15:J15)</f>
        <v>0</v>
      </c>
      <c r="I15" s="1157">
        <f>SUM(I16:I27)</f>
        <v>0</v>
      </c>
      <c r="J15" s="1146"/>
      <c r="K15" s="1155"/>
      <c r="W15" s="1076">
        <v>11</v>
      </c>
    </row>
    <row r="16" spans="1:23" ht="24" customHeight="1">
      <c r="F16" s="1151" t="s">
        <v>1113</v>
      </c>
      <c r="G16" s="1158" t="s">
        <v>1114</v>
      </c>
      <c r="H16" s="1157">
        <f t="shared" si="0"/>
        <v>0</v>
      </c>
      <c r="I16" s="1156"/>
      <c r="J16" s="1146"/>
      <c r="K16" s="1155"/>
      <c r="W16" s="1076">
        <v>23</v>
      </c>
    </row>
    <row r="17" spans="6:23" ht="24" customHeight="1">
      <c r="F17" s="1151" t="s">
        <v>1115</v>
      </c>
      <c r="G17" s="1158" t="s">
        <v>1116</v>
      </c>
      <c r="H17" s="1157">
        <f t="shared" si="0"/>
        <v>0</v>
      </c>
      <c r="I17" s="1156"/>
      <c r="J17" s="1146"/>
      <c r="K17" s="1155"/>
      <c r="W17" s="1076">
        <v>23</v>
      </c>
    </row>
    <row r="18" spans="6:23" ht="35.65" customHeight="1">
      <c r="F18" s="1151" t="s">
        <v>1117</v>
      </c>
      <c r="G18" s="1158" t="s">
        <v>1118</v>
      </c>
      <c r="H18" s="1157">
        <f t="shared" si="0"/>
        <v>0</v>
      </c>
      <c r="I18" s="1156"/>
      <c r="J18" s="1146"/>
      <c r="K18" s="1155"/>
      <c r="W18" s="1076">
        <v>34</v>
      </c>
    </row>
    <row r="19" spans="6:23" ht="35.65" customHeight="1">
      <c r="F19" s="1151" t="s">
        <v>1119</v>
      </c>
      <c r="G19" s="1158" t="s">
        <v>1120</v>
      </c>
      <c r="H19" s="1157">
        <f t="shared" si="0"/>
        <v>0</v>
      </c>
      <c r="I19" s="1156"/>
      <c r="J19" s="1146"/>
      <c r="K19" s="1155"/>
      <c r="W19" s="1076">
        <v>34</v>
      </c>
    </row>
    <row r="20" spans="6:23" ht="48.2" customHeight="1">
      <c r="F20" s="1151" t="s">
        <v>1121</v>
      </c>
      <c r="G20" s="1158" t="s">
        <v>1122</v>
      </c>
      <c r="H20" s="1157">
        <f t="shared" si="0"/>
        <v>0</v>
      </c>
      <c r="I20" s="1156"/>
      <c r="J20" s="1146"/>
      <c r="K20" s="1155"/>
      <c r="W20" s="1076">
        <v>46</v>
      </c>
    </row>
    <row r="21" spans="6:23" ht="35.65" customHeight="1">
      <c r="F21" s="1151" t="s">
        <v>1123</v>
      </c>
      <c r="G21" s="1158" t="s">
        <v>1124</v>
      </c>
      <c r="H21" s="1157">
        <f t="shared" si="0"/>
        <v>0</v>
      </c>
      <c r="I21" s="1156"/>
      <c r="J21" s="1146"/>
      <c r="K21" s="1155"/>
      <c r="W21" s="1076">
        <v>34</v>
      </c>
    </row>
    <row r="22" spans="6:23" ht="35.65" customHeight="1">
      <c r="F22" s="1151" t="s">
        <v>1125</v>
      </c>
      <c r="G22" s="1158" t="s">
        <v>1126</v>
      </c>
      <c r="H22" s="1157">
        <f t="shared" si="0"/>
        <v>0</v>
      </c>
      <c r="I22" s="1156"/>
      <c r="J22" s="1146"/>
      <c r="K22" s="1155"/>
      <c r="W22" s="1076">
        <v>34</v>
      </c>
    </row>
    <row r="23" spans="6:23" ht="24" customHeight="1">
      <c r="F23" s="1151" t="s">
        <v>1127</v>
      </c>
      <c r="G23" s="1158" t="s">
        <v>1128</v>
      </c>
      <c r="H23" s="1157">
        <f t="shared" si="0"/>
        <v>0</v>
      </c>
      <c r="I23" s="1156"/>
      <c r="J23" s="1146"/>
      <c r="K23" s="1155"/>
      <c r="W23" s="1076">
        <v>23</v>
      </c>
    </row>
    <row r="24" spans="6:23" ht="24" customHeight="1">
      <c r="F24" s="1151" t="s">
        <v>1129</v>
      </c>
      <c r="G24" s="1158" t="s">
        <v>1130</v>
      </c>
      <c r="H24" s="1157">
        <f t="shared" si="0"/>
        <v>0</v>
      </c>
      <c r="I24" s="1156"/>
      <c r="J24" s="1146"/>
      <c r="K24" s="1155"/>
      <c r="W24" s="1076">
        <v>23</v>
      </c>
    </row>
    <row r="25" spans="6:23" ht="35.65" customHeight="1">
      <c r="F25" s="1151" t="s">
        <v>1131</v>
      </c>
      <c r="G25" s="1158" t="s">
        <v>1132</v>
      </c>
      <c r="H25" s="1157">
        <f t="shared" si="0"/>
        <v>0</v>
      </c>
      <c r="I25" s="1156"/>
      <c r="J25" s="1146"/>
      <c r="K25" s="1155"/>
      <c r="W25" s="1076">
        <v>34</v>
      </c>
    </row>
    <row r="26" spans="6:23" ht="35.65" customHeight="1">
      <c r="F26" s="1151" t="s">
        <v>1133</v>
      </c>
      <c r="G26" s="1158" t="s">
        <v>1134</v>
      </c>
      <c r="H26" s="1157">
        <f t="shared" si="0"/>
        <v>0</v>
      </c>
      <c r="I26" s="1156"/>
      <c r="J26" s="1146"/>
      <c r="K26" s="1155"/>
      <c r="W26" s="1076">
        <v>34</v>
      </c>
    </row>
    <row r="27" spans="6:23" ht="11.45" customHeight="1">
      <c r="F27" s="1151" t="s">
        <v>1135</v>
      </c>
      <c r="G27" s="1158" t="s">
        <v>1136</v>
      </c>
      <c r="H27" s="1157">
        <f t="shared" si="0"/>
        <v>0</v>
      </c>
      <c r="I27" s="1156"/>
      <c r="J27" s="1146"/>
      <c r="K27" s="1155"/>
      <c r="W27" s="1076">
        <v>11</v>
      </c>
    </row>
    <row r="28" spans="6:23" ht="11.45" customHeight="1">
      <c r="F28" s="1151">
        <v>2</v>
      </c>
      <c r="G28" s="628" t="s">
        <v>1137</v>
      </c>
      <c r="H28" s="1157">
        <f t="shared" si="0"/>
        <v>0</v>
      </c>
      <c r="I28" s="1157">
        <f>SUM(I29:I31)</f>
        <v>0</v>
      </c>
      <c r="J28" s="1146"/>
      <c r="K28" s="1155"/>
      <c r="W28" s="1076">
        <v>11</v>
      </c>
    </row>
    <row r="29" spans="6:23" ht="11.45" customHeight="1">
      <c r="F29" s="1151" t="s">
        <v>800</v>
      </c>
      <c r="G29" s="1158" t="s">
        <v>1138</v>
      </c>
      <c r="H29" s="1157">
        <f t="shared" si="0"/>
        <v>0</v>
      </c>
      <c r="I29" s="1156"/>
      <c r="J29" s="1146"/>
      <c r="K29" s="1155"/>
      <c r="W29" s="1076">
        <v>11</v>
      </c>
    </row>
    <row r="30" spans="6:23" ht="11.45" customHeight="1">
      <c r="F30" s="1151" t="s">
        <v>400</v>
      </c>
      <c r="G30" s="1158" t="s">
        <v>1139</v>
      </c>
      <c r="H30" s="1157">
        <f t="shared" si="0"/>
        <v>0</v>
      </c>
      <c r="I30" s="1156"/>
      <c r="J30" s="1146"/>
      <c r="K30" s="1155"/>
      <c r="W30" s="1076">
        <v>11</v>
      </c>
    </row>
    <row r="31" spans="6:23" ht="11.45" customHeight="1">
      <c r="F31" s="1151" t="s">
        <v>403</v>
      </c>
      <c r="G31" s="1158" t="s">
        <v>1140</v>
      </c>
      <c r="H31" s="1157">
        <f t="shared" si="0"/>
        <v>0</v>
      </c>
      <c r="I31" s="1156"/>
      <c r="J31" s="1146"/>
      <c r="K31" s="1155"/>
      <c r="W31" s="1076">
        <v>11</v>
      </c>
    </row>
    <row r="32" spans="6:23" ht="11.45" customHeight="1">
      <c r="F32" s="1151">
        <v>3</v>
      </c>
      <c r="G32" s="628" t="s">
        <v>1141</v>
      </c>
      <c r="H32" s="1157">
        <f t="shared" si="0"/>
        <v>0</v>
      </c>
      <c r="I32" s="1157">
        <f>SUM(I33:I34)</f>
        <v>0</v>
      </c>
      <c r="J32" s="1146"/>
      <c r="K32" s="1155"/>
      <c r="W32" s="1076">
        <v>11</v>
      </c>
    </row>
    <row r="33" spans="6:23" ht="48.2" customHeight="1">
      <c r="F33" s="1151" t="s">
        <v>417</v>
      </c>
      <c r="G33" s="1158" t="s">
        <v>1142</v>
      </c>
      <c r="H33" s="1157">
        <f t="shared" si="0"/>
        <v>0</v>
      </c>
      <c r="I33" s="1156"/>
      <c r="J33" s="1146"/>
      <c r="K33" s="1155"/>
      <c r="W33" s="1076">
        <v>46</v>
      </c>
    </row>
    <row r="34" spans="6:23" ht="11.45" customHeight="1">
      <c r="F34" s="1151" t="s">
        <v>425</v>
      </c>
      <c r="G34" s="1158" t="s">
        <v>1143</v>
      </c>
      <c r="H34" s="1157">
        <f t="shared" si="0"/>
        <v>0</v>
      </c>
      <c r="I34" s="1156"/>
      <c r="J34" s="1146"/>
      <c r="K34" s="1155"/>
      <c r="W34" s="1076">
        <v>11</v>
      </c>
    </row>
    <row r="35" spans="6:23" ht="11.45" customHeight="1">
      <c r="F35" s="1151">
        <v>4</v>
      </c>
      <c r="G35" s="628" t="s">
        <v>1144</v>
      </c>
      <c r="H35" s="1157">
        <f t="shared" si="0"/>
        <v>0</v>
      </c>
      <c r="I35" s="1156"/>
      <c r="J35" s="1146"/>
      <c r="K35" s="1155"/>
      <c r="W35" s="1076">
        <v>11</v>
      </c>
    </row>
    <row r="36" spans="6:23" ht="11.45" customHeight="1">
      <c r="F36" s="1151"/>
      <c r="G36" s="631" t="s">
        <v>1145</v>
      </c>
      <c r="H36" s="1157">
        <f t="shared" si="0"/>
        <v>0</v>
      </c>
      <c r="I36" s="1157">
        <f>SUM(I15,I28,I32,I35)</f>
        <v>0</v>
      </c>
      <c r="J36" s="1146"/>
      <c r="K36" s="1155"/>
      <c r="W36" s="1076">
        <v>11</v>
      </c>
    </row>
    <row r="37" spans="6:23" ht="29.25" customHeight="1">
      <c r="F37" s="1152" t="s">
        <v>1146</v>
      </c>
      <c r="G37" s="5598" t="s">
        <v>1147</v>
      </c>
      <c r="H37" s="5598"/>
      <c r="I37" s="5598"/>
      <c r="J37" s="5598"/>
      <c r="K37" s="1155"/>
      <c r="W37" s="1076">
        <v>28</v>
      </c>
    </row>
    <row r="38" spans="6:23" ht="24" customHeight="1">
      <c r="F38" s="1151" t="s">
        <v>136</v>
      </c>
      <c r="G38" s="628" t="s">
        <v>1148</v>
      </c>
      <c r="H38" s="1157">
        <f t="shared" ref="H38:H58" si="1">SUM(I38:J38)</f>
        <v>0</v>
      </c>
      <c r="I38" s="1157">
        <f>SUM(I39,I44,I47)</f>
        <v>0</v>
      </c>
      <c r="J38" s="1146"/>
      <c r="K38" s="1155"/>
      <c r="W38" s="1076">
        <v>23</v>
      </c>
    </row>
    <row r="39" spans="6:23" ht="11.45" customHeight="1">
      <c r="F39" s="1151" t="s">
        <v>1113</v>
      </c>
      <c r="G39" s="1158" t="s">
        <v>1112</v>
      </c>
      <c r="H39" s="1157">
        <f t="shared" si="1"/>
        <v>0</v>
      </c>
      <c r="I39" s="1157">
        <f>SUM(I40:I43)</f>
        <v>0</v>
      </c>
      <c r="J39" s="1146"/>
      <c r="K39" s="1155"/>
      <c r="W39" s="1076">
        <v>11</v>
      </c>
    </row>
    <row r="40" spans="6:23" ht="24" customHeight="1">
      <c r="F40" s="1151" t="s">
        <v>1149</v>
      </c>
      <c r="G40" s="1159" t="s">
        <v>1150</v>
      </c>
      <c r="H40" s="1157">
        <f t="shared" si="1"/>
        <v>0</v>
      </c>
      <c r="I40" s="1156"/>
      <c r="J40" s="1146"/>
      <c r="K40" s="1155"/>
      <c r="W40" s="1076">
        <v>23</v>
      </c>
    </row>
    <row r="41" spans="6:23" ht="11.45" customHeight="1">
      <c r="F41" s="1151" t="s">
        <v>1151</v>
      </c>
      <c r="G41" s="1159" t="s">
        <v>1152</v>
      </c>
      <c r="H41" s="1157">
        <f t="shared" si="1"/>
        <v>0</v>
      </c>
      <c r="I41" s="1156"/>
      <c r="J41" s="1146"/>
      <c r="K41" s="1155"/>
      <c r="W41" s="1076">
        <v>11</v>
      </c>
    </row>
    <row r="42" spans="6:23" ht="11.45" customHeight="1">
      <c r="F42" s="1151" t="s">
        <v>1153</v>
      </c>
      <c r="G42" s="1159" t="s">
        <v>1154</v>
      </c>
      <c r="H42" s="1157">
        <f t="shared" si="1"/>
        <v>0</v>
      </c>
      <c r="I42" s="1156"/>
      <c r="J42" s="1146"/>
      <c r="K42" s="1155"/>
      <c r="W42" s="1076">
        <v>11</v>
      </c>
    </row>
    <row r="43" spans="6:23" ht="35.65" customHeight="1">
      <c r="F43" s="1151" t="s">
        <v>1155</v>
      </c>
      <c r="G43" s="1159" t="s">
        <v>1156</v>
      </c>
      <c r="H43" s="1157">
        <f t="shared" si="1"/>
        <v>0</v>
      </c>
      <c r="I43" s="1156"/>
      <c r="J43" s="1146"/>
      <c r="K43" s="1155"/>
      <c r="W43" s="1076">
        <v>34</v>
      </c>
    </row>
    <row r="44" spans="6:23" ht="11.45" customHeight="1">
      <c r="F44" s="1151" t="s">
        <v>1115</v>
      </c>
      <c r="G44" s="1158" t="s">
        <v>1141</v>
      </c>
      <c r="H44" s="1157">
        <f t="shared" si="1"/>
        <v>0</v>
      </c>
      <c r="I44" s="1157">
        <f>SUM(I45:I46)</f>
        <v>0</v>
      </c>
      <c r="J44" s="1146"/>
      <c r="K44" s="1155"/>
      <c r="W44" s="1076">
        <v>11</v>
      </c>
    </row>
    <row r="45" spans="6:23" ht="48.2" customHeight="1">
      <c r="F45" s="1151" t="s">
        <v>1157</v>
      </c>
      <c r="G45" s="1159" t="s">
        <v>1142</v>
      </c>
      <c r="H45" s="1157">
        <f t="shared" si="1"/>
        <v>0</v>
      </c>
      <c r="I45" s="1156"/>
      <c r="J45" s="1146"/>
      <c r="K45" s="1155"/>
      <c r="W45" s="1076">
        <v>46</v>
      </c>
    </row>
    <row r="46" spans="6:23" ht="11.45" customHeight="1">
      <c r="F46" s="1151" t="s">
        <v>1158</v>
      </c>
      <c r="G46" s="1159" t="s">
        <v>1143</v>
      </c>
      <c r="H46" s="1157">
        <f t="shared" si="1"/>
        <v>0</v>
      </c>
      <c r="I46" s="1156"/>
      <c r="J46" s="1146"/>
      <c r="K46" s="1155"/>
      <c r="W46" s="1076">
        <v>11</v>
      </c>
    </row>
    <row r="47" spans="6:23" ht="11.45" customHeight="1">
      <c r="F47" s="1151" t="s">
        <v>1117</v>
      </c>
      <c r="G47" s="1158" t="s">
        <v>1159</v>
      </c>
      <c r="H47" s="1157">
        <f t="shared" si="1"/>
        <v>0</v>
      </c>
      <c r="I47" s="1156"/>
      <c r="J47" s="1146"/>
      <c r="K47" s="1155"/>
      <c r="W47" s="1076">
        <v>11</v>
      </c>
    </row>
    <row r="48" spans="6:23" ht="24" customHeight="1">
      <c r="F48" s="1151" t="s">
        <v>103</v>
      </c>
      <c r="G48" s="628" t="s">
        <v>1160</v>
      </c>
      <c r="H48" s="1157">
        <f t="shared" si="1"/>
        <v>0</v>
      </c>
      <c r="I48" s="1157">
        <f>SUM(I49,I54,I57)</f>
        <v>0</v>
      </c>
      <c r="J48" s="1146"/>
      <c r="K48" s="1155"/>
      <c r="W48" s="1076">
        <v>23</v>
      </c>
    </row>
    <row r="49" spans="1:23" ht="11.45" customHeight="1">
      <c r="F49" s="1151" t="s">
        <v>800</v>
      </c>
      <c r="G49" s="1158" t="s">
        <v>1112</v>
      </c>
      <c r="H49" s="1157">
        <f t="shared" si="1"/>
        <v>0</v>
      </c>
      <c r="I49" s="1157">
        <f>SUM(I50:I53)</f>
        <v>0</v>
      </c>
      <c r="J49" s="1146"/>
      <c r="K49" s="1155"/>
      <c r="W49" s="1076">
        <v>11</v>
      </c>
    </row>
    <row r="50" spans="1:23" ht="24" customHeight="1">
      <c r="F50" s="1151" t="s">
        <v>803</v>
      </c>
      <c r="G50" s="1159" t="s">
        <v>1150</v>
      </c>
      <c r="H50" s="1157">
        <f t="shared" si="1"/>
        <v>0</v>
      </c>
      <c r="I50" s="1156"/>
      <c r="J50" s="1146"/>
      <c r="K50" s="1155"/>
      <c r="W50" s="1076">
        <v>23</v>
      </c>
    </row>
    <row r="51" spans="1:23" ht="11.45" customHeight="1">
      <c r="F51" s="1151" t="s">
        <v>806</v>
      </c>
      <c r="G51" s="1159" t="s">
        <v>1152</v>
      </c>
      <c r="H51" s="1157">
        <f t="shared" si="1"/>
        <v>0</v>
      </c>
      <c r="I51" s="1156"/>
      <c r="J51" s="1146"/>
      <c r="K51" s="1155"/>
      <c r="W51" s="1076">
        <v>11</v>
      </c>
    </row>
    <row r="52" spans="1:23" ht="11.45" customHeight="1">
      <c r="F52" s="1151" t="s">
        <v>1161</v>
      </c>
      <c r="G52" s="1159" t="s">
        <v>1154</v>
      </c>
      <c r="H52" s="1157">
        <f t="shared" si="1"/>
        <v>0</v>
      </c>
      <c r="I52" s="1156"/>
      <c r="J52" s="1146"/>
      <c r="K52" s="1155"/>
      <c r="W52" s="1076">
        <v>11</v>
      </c>
    </row>
    <row r="53" spans="1:23" ht="35.65" customHeight="1">
      <c r="F53" s="1151" t="s">
        <v>1162</v>
      </c>
      <c r="G53" s="1159" t="s">
        <v>1156</v>
      </c>
      <c r="H53" s="1157">
        <f t="shared" si="1"/>
        <v>0</v>
      </c>
      <c r="I53" s="1156"/>
      <c r="J53" s="1146"/>
      <c r="K53" s="1155"/>
      <c r="W53" s="1076">
        <v>34</v>
      </c>
    </row>
    <row r="54" spans="1:23" ht="11.45" customHeight="1">
      <c r="F54" s="1151" t="s">
        <v>400</v>
      </c>
      <c r="G54" s="1158" t="s">
        <v>1141</v>
      </c>
      <c r="H54" s="1157">
        <f t="shared" si="1"/>
        <v>0</v>
      </c>
      <c r="I54" s="1157">
        <f>SUM(I55:I56)</f>
        <v>0</v>
      </c>
      <c r="J54" s="1146"/>
      <c r="K54" s="1155"/>
      <c r="W54" s="1076">
        <v>11</v>
      </c>
    </row>
    <row r="55" spans="1:23" ht="48.2" customHeight="1">
      <c r="F55" s="1151" t="s">
        <v>810</v>
      </c>
      <c r="G55" s="1159" t="s">
        <v>1142</v>
      </c>
      <c r="H55" s="1157">
        <f t="shared" si="1"/>
        <v>0</v>
      </c>
      <c r="I55" s="1156"/>
      <c r="J55" s="1146"/>
      <c r="K55" s="1155"/>
      <c r="W55" s="1076">
        <v>46</v>
      </c>
    </row>
    <row r="56" spans="1:23" ht="11.45" customHeight="1">
      <c r="F56" s="1151" t="s">
        <v>812</v>
      </c>
      <c r="G56" s="1159" t="s">
        <v>1143</v>
      </c>
      <c r="H56" s="1157">
        <f t="shared" si="1"/>
        <v>0</v>
      </c>
      <c r="I56" s="1156"/>
      <c r="J56" s="1146"/>
      <c r="K56" s="1155"/>
      <c r="W56" s="1076">
        <v>11</v>
      </c>
    </row>
    <row r="57" spans="1:23" ht="11.45" customHeight="1">
      <c r="F57" s="1151" t="s">
        <v>403</v>
      </c>
      <c r="G57" s="1158" t="s">
        <v>1159</v>
      </c>
      <c r="H57" s="1157">
        <f t="shared" si="1"/>
        <v>0</v>
      </c>
      <c r="I57" s="1156"/>
      <c r="J57" s="1146"/>
      <c r="K57" s="1155"/>
      <c r="W57" s="1076">
        <v>11</v>
      </c>
    </row>
    <row r="58" spans="1:23" ht="11.45" customHeight="1">
      <c r="F58" s="1151"/>
      <c r="G58" s="1160" t="s">
        <v>1145</v>
      </c>
      <c r="H58" s="1157">
        <f t="shared" si="1"/>
        <v>0</v>
      </c>
      <c r="I58" s="1157">
        <f>SUM(I38,I48)</f>
        <v>0</v>
      </c>
      <c r="J58" s="1146"/>
      <c r="K58" s="1155"/>
      <c r="W58" s="1076">
        <v>11</v>
      </c>
    </row>
    <row r="59" spans="1:23" ht="10.5" hidden="1" customHeight="1">
      <c r="A59" s="1087" t="s">
        <v>82</v>
      </c>
      <c r="B59" s="1087">
        <v>0</v>
      </c>
      <c r="C59" s="1087">
        <v>0</v>
      </c>
      <c r="D59" s="1081">
        <v>0</v>
      </c>
      <c r="E59" s="447">
        <v>3</v>
      </c>
      <c r="F59" s="1076">
        <v>6</v>
      </c>
      <c r="G59" s="1076">
        <v>60</v>
      </c>
      <c r="H59" s="1076">
        <v>0</v>
      </c>
      <c r="I59" s="1076">
        <v>0</v>
      </c>
      <c r="J59" s="1076">
        <v>0</v>
      </c>
      <c r="K59" s="1076">
        <v>1</v>
      </c>
      <c r="L59" s="1076">
        <v>8</v>
      </c>
      <c r="M59" s="1076">
        <v>8</v>
      </c>
      <c r="N59" s="1076">
        <v>8</v>
      </c>
      <c r="O59" s="1076">
        <v>8</v>
      </c>
      <c r="P59" s="1076">
        <v>8</v>
      </c>
      <c r="Q59" s="1076">
        <v>8</v>
      </c>
      <c r="R59" s="1076">
        <v>8</v>
      </c>
      <c r="S59" s="1076">
        <v>8</v>
      </c>
      <c r="T59" s="1076">
        <v>8</v>
      </c>
      <c r="U59" s="1076">
        <v>8</v>
      </c>
      <c r="V59" s="1076">
        <v>8</v>
      </c>
      <c r="W59" s="1076">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5266" hidden="1" customWidth="1"/>
    <col min="2" max="2" width="4.7109375" style="5267" hidden="1" customWidth="1"/>
    <col min="3" max="4" width="4.7109375" style="5266" hidden="1" customWidth="1"/>
    <col min="5" max="5" width="3" style="5266" customWidth="1"/>
    <col min="6" max="6" width="6" style="5266" customWidth="1"/>
    <col min="7" max="7" width="18" style="5266" customWidth="1"/>
    <col min="8" max="8" width="27" style="5266" customWidth="1"/>
    <col min="9" max="9" width="18" style="5266" customWidth="1"/>
    <col min="10" max="14" width="0.85546875" style="5266" hidden="1" customWidth="1"/>
    <col min="15" max="28" width="21.7109375" style="5266" hidden="1" customWidth="1"/>
    <col min="29" max="71" width="0.85546875" style="5266" hidden="1" customWidth="1"/>
    <col min="72" max="79" width="21.7109375" style="5266" hidden="1" customWidth="1"/>
    <col min="80" max="81" width="29.140625" style="5266" hidden="1" customWidth="1"/>
    <col min="82" max="89" width="21.7109375" style="5266" hidden="1" customWidth="1"/>
    <col min="90" max="102" width="0.7109375" style="5266" hidden="1" customWidth="1"/>
    <col min="103" max="114" width="21.7109375" style="5266" customWidth="1"/>
    <col min="115" max="128" width="0.7109375" style="5266" customWidth="1"/>
    <col min="129" max="178" width="0.7109375" style="5266" hidden="1" customWidth="1"/>
    <col min="179" max="179" width="0.140625" style="5266" customWidth="1"/>
    <col min="180" max="184" width="8" style="5266" customWidth="1"/>
    <col min="185" max="185" width="9.140625" style="5266" hidden="1"/>
  </cols>
  <sheetData>
    <row r="1" spans="2:185" s="5262" customFormat="1" ht="12" hidden="1" customHeight="1">
      <c r="B1" s="850"/>
      <c r="C1" s="851"/>
      <c r="D1" s="851"/>
      <c r="GC1" s="849" t="s">
        <v>14</v>
      </c>
    </row>
    <row r="2" spans="2:185" s="5262" customFormat="1" ht="12" hidden="1" customHeight="1">
      <c r="B2" s="850"/>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2"/>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c r="GC2" s="849">
        <v>0</v>
      </c>
    </row>
    <row r="3" spans="2:185" s="5262" customFormat="1" ht="12" hidden="1" customHeight="1">
      <c r="B3" s="850"/>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B3" s="852"/>
      <c r="AC3" s="851"/>
      <c r="AD3" s="851"/>
      <c r="AE3" s="851"/>
      <c r="AF3" s="851"/>
      <c r="AG3" s="851"/>
      <c r="AH3" s="851"/>
      <c r="AI3" s="851"/>
      <c r="AJ3" s="851"/>
      <c r="AK3" s="851"/>
      <c r="AL3" s="851"/>
      <c r="AM3" s="851"/>
      <c r="AN3" s="851"/>
      <c r="AO3" s="851"/>
      <c r="AP3" s="851"/>
      <c r="AQ3" s="851"/>
      <c r="AR3" s="851"/>
      <c r="AS3" s="851"/>
      <c r="AT3" s="851"/>
      <c r="AU3" s="851"/>
      <c r="AV3" s="851"/>
      <c r="AW3" s="851"/>
      <c r="AX3" s="851"/>
      <c r="AY3" s="851"/>
      <c r="AZ3" s="851"/>
      <c r="BA3" s="851"/>
      <c r="BB3" s="851"/>
      <c r="BC3" s="851"/>
      <c r="BD3" s="851"/>
      <c r="BE3" s="851"/>
      <c r="BF3" s="851"/>
      <c r="BG3" s="851"/>
      <c r="BH3" s="851"/>
      <c r="BI3" s="851"/>
      <c r="BJ3" s="851"/>
      <c r="BK3" s="851"/>
      <c r="BL3" s="851"/>
      <c r="BM3" s="851"/>
      <c r="BN3" s="851"/>
      <c r="BO3" s="851"/>
      <c r="BP3" s="851"/>
      <c r="BQ3" s="851"/>
      <c r="BR3" s="851"/>
      <c r="BS3" s="851"/>
      <c r="BT3" s="851"/>
      <c r="BU3" s="851"/>
      <c r="BV3" s="851"/>
      <c r="BW3" s="851"/>
      <c r="BX3" s="851"/>
      <c r="BY3" s="851"/>
      <c r="BZ3" s="851"/>
      <c r="CA3" s="851"/>
      <c r="CB3" s="851"/>
      <c r="CC3" s="851"/>
      <c r="CD3" s="851"/>
      <c r="CE3" s="851"/>
      <c r="CF3" s="851"/>
      <c r="CG3" s="851"/>
      <c r="CH3" s="851"/>
      <c r="CI3" s="851"/>
      <c r="CJ3" s="851"/>
      <c r="CK3" s="851"/>
      <c r="CL3" s="851"/>
      <c r="CM3" s="851"/>
      <c r="CN3" s="851"/>
      <c r="CO3" s="851"/>
      <c r="CP3" s="851"/>
      <c r="CQ3" s="851"/>
      <c r="CR3" s="851"/>
      <c r="CS3" s="851"/>
      <c r="CT3" s="851"/>
      <c r="CU3" s="851"/>
      <c r="CV3" s="851"/>
      <c r="CW3" s="851"/>
      <c r="CX3" s="851"/>
      <c r="CY3" s="851"/>
      <c r="CZ3" s="851"/>
      <c r="DA3" s="851"/>
      <c r="DB3" s="851"/>
      <c r="DC3" s="851"/>
      <c r="DD3" s="851"/>
      <c r="DE3" s="851"/>
      <c r="DF3" s="851"/>
      <c r="DG3" s="851"/>
      <c r="DH3" s="851"/>
      <c r="DI3" s="851"/>
      <c r="DJ3" s="851"/>
      <c r="DK3" s="851"/>
      <c r="DL3" s="851"/>
      <c r="DM3" s="851"/>
      <c r="DN3" s="851"/>
      <c r="DO3" s="851"/>
      <c r="DP3" s="851"/>
      <c r="DQ3" s="851"/>
      <c r="DR3" s="851"/>
      <c r="DS3" s="851"/>
      <c r="DT3" s="851"/>
      <c r="DU3" s="851"/>
      <c r="DV3" s="851"/>
      <c r="DW3" s="851"/>
      <c r="DX3" s="851"/>
      <c r="DY3" s="851"/>
      <c r="DZ3" s="851"/>
      <c r="EA3" s="851"/>
      <c r="EB3" s="851"/>
      <c r="EC3" s="851"/>
      <c r="ED3" s="851"/>
      <c r="EE3" s="851"/>
      <c r="EF3" s="851"/>
      <c r="EG3" s="851"/>
      <c r="EH3" s="851"/>
      <c r="EI3" s="851"/>
      <c r="EJ3" s="851"/>
      <c r="EK3" s="851"/>
      <c r="EL3" s="851"/>
      <c r="EM3" s="851"/>
      <c r="EN3" s="851"/>
      <c r="EO3" s="851"/>
      <c r="EP3" s="851"/>
      <c r="EQ3" s="851"/>
      <c r="ER3" s="851"/>
      <c r="ES3" s="851"/>
      <c r="ET3" s="851"/>
      <c r="EU3" s="851"/>
      <c r="EV3" s="851"/>
      <c r="EW3" s="851"/>
      <c r="EX3" s="851"/>
      <c r="EY3" s="851"/>
      <c r="EZ3" s="851"/>
      <c r="FA3" s="851"/>
      <c r="FB3" s="851"/>
      <c r="FC3" s="851"/>
      <c r="FD3" s="851"/>
      <c r="FE3" s="851"/>
      <c r="FF3" s="851"/>
      <c r="FG3" s="851"/>
      <c r="FH3" s="851"/>
      <c r="FI3" s="851"/>
      <c r="FJ3" s="851"/>
      <c r="FK3" s="851"/>
      <c r="FL3" s="851"/>
      <c r="FM3" s="851"/>
      <c r="FN3" s="851"/>
      <c r="FO3" s="851"/>
      <c r="FP3" s="851"/>
      <c r="FQ3" s="851"/>
      <c r="FR3" s="851"/>
      <c r="FS3" s="851"/>
      <c r="FT3" s="851"/>
      <c r="FU3" s="851"/>
      <c r="FV3" s="851"/>
      <c r="FW3" s="851"/>
      <c r="GC3" s="849">
        <v>0</v>
      </c>
    </row>
    <row r="4" spans="2:185" ht="10.5" customHeight="1">
      <c r="B4" s="854"/>
      <c r="C4" s="855"/>
      <c r="D4" s="855"/>
      <c r="E4" s="855"/>
      <c r="F4" s="855"/>
      <c r="G4" s="855"/>
      <c r="H4" s="856"/>
      <c r="I4" s="856"/>
      <c r="J4" s="856"/>
      <c r="K4" s="856"/>
      <c r="L4" s="856"/>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c r="AZ4" s="857"/>
      <c r="BA4" s="857"/>
      <c r="BB4" s="857"/>
      <c r="BC4" s="857"/>
      <c r="BD4" s="857"/>
      <c r="BE4" s="857"/>
      <c r="BF4" s="857"/>
      <c r="BG4" s="857"/>
      <c r="BH4" s="857"/>
      <c r="BI4" s="857"/>
      <c r="BJ4" s="857"/>
      <c r="BK4" s="857"/>
      <c r="BL4" s="857"/>
      <c r="BM4" s="857"/>
      <c r="BN4" s="857"/>
      <c r="BO4" s="857"/>
      <c r="BP4" s="857"/>
      <c r="BQ4" s="857"/>
      <c r="BR4" s="857"/>
      <c r="BS4" s="857"/>
      <c r="BT4" s="857"/>
      <c r="BU4" s="857"/>
      <c r="BV4" s="857"/>
      <c r="BW4" s="857"/>
      <c r="BX4" s="857"/>
      <c r="BY4" s="857"/>
      <c r="BZ4" s="857"/>
      <c r="CA4" s="857"/>
      <c r="CB4" s="857"/>
      <c r="CC4" s="857"/>
      <c r="CD4" s="857"/>
      <c r="CE4" s="857"/>
      <c r="CF4" s="857"/>
      <c r="CG4" s="857"/>
      <c r="CH4" s="857"/>
      <c r="CI4" s="857"/>
      <c r="CJ4" s="857"/>
      <c r="CK4" s="857"/>
      <c r="CL4" s="857"/>
      <c r="CM4" s="857"/>
      <c r="CN4" s="857"/>
      <c r="CO4" s="857"/>
      <c r="CP4" s="857"/>
      <c r="CQ4" s="857"/>
      <c r="CR4" s="857"/>
      <c r="CS4" s="857"/>
      <c r="CT4" s="857"/>
      <c r="CU4" s="857"/>
      <c r="CV4" s="857"/>
      <c r="CW4" s="857"/>
      <c r="CX4" s="857"/>
      <c r="CY4" s="857"/>
      <c r="CZ4" s="857"/>
      <c r="DA4" s="857"/>
      <c r="DB4" s="857"/>
      <c r="DC4" s="857"/>
      <c r="DD4" s="857"/>
      <c r="DE4" s="857"/>
      <c r="DF4" s="857"/>
      <c r="DG4" s="857"/>
      <c r="DH4" s="857"/>
      <c r="DI4" s="857"/>
      <c r="DJ4" s="857"/>
      <c r="DK4" s="857"/>
      <c r="DL4" s="857"/>
      <c r="DM4" s="857"/>
      <c r="DN4" s="857"/>
      <c r="DO4" s="857"/>
      <c r="DP4" s="857"/>
      <c r="DQ4" s="857"/>
      <c r="DR4" s="857"/>
      <c r="DS4" s="857"/>
      <c r="DT4" s="857"/>
      <c r="DU4" s="857"/>
      <c r="DV4" s="857"/>
      <c r="DW4" s="857"/>
      <c r="DX4" s="857"/>
      <c r="DY4" s="857"/>
      <c r="DZ4" s="857"/>
      <c r="EA4" s="857"/>
      <c r="EB4" s="857"/>
      <c r="EC4" s="857"/>
      <c r="ED4" s="857"/>
      <c r="EE4" s="857"/>
      <c r="EF4" s="857"/>
      <c r="EG4" s="857"/>
      <c r="EH4" s="857"/>
      <c r="EI4" s="857"/>
      <c r="EJ4" s="857"/>
      <c r="EK4" s="857"/>
      <c r="EL4" s="857"/>
      <c r="EM4" s="857"/>
      <c r="EN4" s="857"/>
      <c r="EO4" s="857"/>
      <c r="EP4" s="857"/>
      <c r="EQ4" s="857"/>
      <c r="ER4" s="857"/>
      <c r="ES4" s="857"/>
      <c r="ET4" s="857"/>
      <c r="EU4" s="857"/>
      <c r="EV4" s="857"/>
      <c r="EW4" s="857"/>
      <c r="EX4" s="857"/>
      <c r="EY4" s="857"/>
      <c r="EZ4" s="857"/>
      <c r="FA4" s="857"/>
      <c r="FB4" s="857"/>
      <c r="FC4" s="857"/>
      <c r="FD4" s="857"/>
      <c r="FE4" s="857"/>
      <c r="FF4" s="857"/>
      <c r="FG4" s="857"/>
      <c r="FH4" s="857"/>
      <c r="FI4" s="857"/>
      <c r="FJ4" s="857"/>
      <c r="FK4" s="857"/>
      <c r="FL4" s="857"/>
      <c r="FM4" s="857"/>
      <c r="FN4" s="857"/>
      <c r="FO4" s="857"/>
      <c r="FP4" s="857"/>
      <c r="FQ4" s="857"/>
      <c r="FR4" s="857"/>
      <c r="FS4" s="857"/>
      <c r="FT4" s="857"/>
      <c r="FU4" s="857"/>
      <c r="FV4" s="857"/>
      <c r="FW4" s="857"/>
      <c r="GC4" s="853">
        <v>10</v>
      </c>
    </row>
    <row r="5" spans="2:185" s="5263" customFormat="1" ht="27.4" customHeight="1">
      <c r="B5" s="1790"/>
      <c r="E5" s="1792"/>
      <c r="F5" s="562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5377"/>
      <c r="H5" s="5377"/>
      <c r="I5" s="5377"/>
      <c r="J5" s="5377"/>
      <c r="K5" s="5377"/>
      <c r="L5" s="5377"/>
      <c r="M5" s="5377"/>
      <c r="N5" s="5377"/>
      <c r="O5" s="5377"/>
      <c r="P5" s="5377"/>
      <c r="Q5" s="5377"/>
      <c r="R5" s="5377"/>
      <c r="S5" s="5377"/>
      <c r="T5" s="5377"/>
      <c r="U5" s="5377"/>
      <c r="V5" s="5377"/>
      <c r="W5" s="5377"/>
      <c r="X5" s="5377"/>
      <c r="Y5" s="5377"/>
      <c r="Z5" s="5377"/>
      <c r="AA5" s="5377"/>
      <c r="AB5" s="5377"/>
      <c r="AC5" s="5377"/>
      <c r="AD5" s="5377"/>
      <c r="AE5" s="5377"/>
      <c r="AF5" s="5377"/>
      <c r="AG5" s="5377"/>
      <c r="AH5" s="5377"/>
      <c r="AI5" s="5377"/>
      <c r="AJ5" s="5377"/>
      <c r="AK5" s="5377"/>
      <c r="AL5" s="5377"/>
      <c r="AM5" s="5377"/>
      <c r="AN5" s="5377"/>
      <c r="AO5" s="5377"/>
      <c r="AP5" s="5377"/>
      <c r="AQ5" s="5377"/>
      <c r="AR5" s="5377"/>
      <c r="AS5" s="5377"/>
      <c r="AT5" s="5377"/>
      <c r="AU5" s="5377"/>
      <c r="AV5" s="5377"/>
      <c r="AW5" s="5377"/>
      <c r="AX5" s="5377"/>
      <c r="AY5" s="5377"/>
      <c r="AZ5" s="5377"/>
      <c r="BA5" s="5377"/>
      <c r="BB5" s="5377"/>
      <c r="BC5" s="5377"/>
      <c r="BD5" s="5377"/>
      <c r="BE5" s="5377"/>
      <c r="BF5" s="5377"/>
      <c r="BG5" s="5377"/>
      <c r="BH5" s="5377"/>
      <c r="BI5" s="5377"/>
      <c r="BJ5" s="5377"/>
      <c r="BK5" s="5377"/>
      <c r="BL5" s="5377"/>
      <c r="BM5" s="5377"/>
      <c r="BN5" s="5377"/>
      <c r="BO5" s="5377"/>
      <c r="BP5" s="5377"/>
      <c r="BQ5" s="5377"/>
      <c r="BR5" s="5377"/>
      <c r="BS5" s="5377"/>
      <c r="GC5" s="1791">
        <v>26</v>
      </c>
    </row>
    <row r="6" spans="2:185" s="5264" customFormat="1" ht="18.75" customHeight="1">
      <c r="B6" s="870"/>
      <c r="E6" s="872"/>
      <c r="F6" s="5445" t="str">
        <f>IF(org=0,"Не определено",org)</f>
        <v>КГУП "Примтеплоэнерго"</v>
      </c>
      <c r="G6" s="5446"/>
      <c r="H6" s="5446"/>
      <c r="I6" s="5446"/>
      <c r="J6" s="5446"/>
      <c r="K6" s="5446"/>
      <c r="L6" s="5446"/>
      <c r="M6" s="5446"/>
      <c r="N6" s="5446"/>
      <c r="O6" s="5446"/>
      <c r="P6" s="5446"/>
      <c r="Q6" s="5446"/>
      <c r="R6" s="5446"/>
      <c r="S6" s="5446"/>
      <c r="T6" s="5446"/>
      <c r="U6" s="5446"/>
      <c r="V6" s="5446"/>
      <c r="W6" s="5446"/>
      <c r="X6" s="5446"/>
      <c r="Y6" s="5446"/>
      <c r="Z6" s="5446"/>
      <c r="AA6" s="5446"/>
      <c r="AB6" s="5446"/>
      <c r="AC6" s="5446"/>
      <c r="AD6" s="5446"/>
      <c r="AE6" s="5446"/>
      <c r="AF6" s="5446"/>
      <c r="AG6" s="5446"/>
      <c r="AH6" s="5446"/>
      <c r="AI6" s="5446"/>
      <c r="AJ6" s="5446"/>
      <c r="AK6" s="5446"/>
      <c r="AL6" s="5446"/>
      <c r="AM6" s="5446"/>
      <c r="AN6" s="5446"/>
      <c r="AO6" s="5446"/>
      <c r="AP6" s="5446"/>
      <c r="AQ6" s="5446"/>
      <c r="AR6" s="5446"/>
      <c r="AS6" s="5446"/>
      <c r="AT6" s="5446"/>
      <c r="AU6" s="5446"/>
      <c r="AV6" s="5446"/>
      <c r="AW6" s="5446"/>
      <c r="AX6" s="5446"/>
      <c r="AY6" s="5446"/>
      <c r="AZ6" s="5446"/>
      <c r="BA6" s="5446"/>
      <c r="BB6" s="5446"/>
      <c r="BC6" s="5446"/>
      <c r="BD6" s="5446"/>
      <c r="BE6" s="5446"/>
      <c r="BF6" s="5446"/>
      <c r="BG6" s="5446"/>
      <c r="BH6" s="5446"/>
      <c r="BI6" s="5446"/>
      <c r="BJ6" s="5446"/>
      <c r="BK6" s="5446"/>
      <c r="BL6" s="5446"/>
      <c r="BM6" s="5446"/>
      <c r="BN6" s="5446"/>
      <c r="BO6" s="5446"/>
      <c r="BP6" s="5446"/>
      <c r="BQ6" s="5446"/>
      <c r="BR6" s="5446"/>
      <c r="BS6" s="5446"/>
      <c r="GC6" s="871">
        <v>18</v>
      </c>
    </row>
    <row r="7" spans="2:185" s="5265" customFormat="1" ht="10.5" customHeight="1">
      <c r="B7" s="859"/>
      <c r="E7" s="860"/>
      <c r="F7" s="860"/>
      <c r="G7" s="862"/>
      <c r="H7" s="856"/>
      <c r="I7" s="856"/>
      <c r="J7" s="856"/>
      <c r="K7" s="856"/>
      <c r="L7" s="856"/>
      <c r="M7" s="860"/>
      <c r="N7" s="860"/>
      <c r="O7" s="860"/>
      <c r="P7" s="860"/>
      <c r="Q7" s="860"/>
      <c r="R7" s="860"/>
      <c r="S7" s="860"/>
      <c r="T7" s="860"/>
      <c r="U7" s="860"/>
      <c r="V7" s="860"/>
      <c r="W7" s="860"/>
      <c r="X7" s="860"/>
      <c r="Y7" s="860"/>
      <c r="Z7" s="860"/>
      <c r="AA7" s="860"/>
      <c r="AB7" s="860"/>
      <c r="AC7" s="860"/>
      <c r="AD7" s="860"/>
      <c r="AE7" s="860"/>
      <c r="AF7" s="860"/>
      <c r="AG7" s="860"/>
      <c r="AH7" s="860"/>
      <c r="AI7" s="860"/>
      <c r="AJ7" s="860"/>
      <c r="AK7" s="860"/>
      <c r="AL7" s="860"/>
      <c r="AM7" s="860"/>
      <c r="AN7" s="860"/>
      <c r="AO7" s="860"/>
      <c r="AP7" s="860"/>
      <c r="AQ7" s="860"/>
      <c r="AR7" s="860"/>
      <c r="AS7" s="860"/>
      <c r="AT7" s="860"/>
      <c r="AU7" s="860"/>
      <c r="AV7" s="860"/>
      <c r="AW7" s="860"/>
      <c r="AX7" s="860"/>
      <c r="AY7" s="860"/>
      <c r="AZ7" s="860"/>
      <c r="BA7" s="860"/>
      <c r="BB7" s="860"/>
      <c r="BC7" s="860"/>
      <c r="BD7" s="860"/>
      <c r="BE7" s="860"/>
      <c r="BF7" s="860"/>
      <c r="BG7" s="860"/>
      <c r="BH7" s="860"/>
      <c r="BI7" s="860"/>
      <c r="BJ7" s="860"/>
      <c r="BK7" s="860"/>
      <c r="BL7" s="860"/>
      <c r="BM7" s="860"/>
      <c r="BN7" s="860"/>
      <c r="BO7" s="860"/>
      <c r="BP7" s="860"/>
      <c r="BQ7" s="860"/>
      <c r="BR7" s="860"/>
      <c r="BS7" s="860"/>
      <c r="BT7" s="860"/>
      <c r="BU7" s="860"/>
      <c r="BV7" s="860"/>
      <c r="BW7" s="860"/>
      <c r="BX7" s="860"/>
      <c r="BY7" s="860"/>
      <c r="BZ7" s="860"/>
      <c r="CA7" s="860"/>
      <c r="CB7" s="860"/>
      <c r="CC7" s="860"/>
      <c r="CD7" s="860"/>
      <c r="CE7" s="860"/>
      <c r="CF7" s="860"/>
      <c r="CG7" s="860"/>
      <c r="CH7" s="860"/>
      <c r="CI7" s="860"/>
      <c r="CJ7" s="860"/>
      <c r="CK7" s="860"/>
      <c r="CL7" s="860"/>
      <c r="CM7" s="860"/>
      <c r="CN7" s="860"/>
      <c r="CO7" s="860"/>
      <c r="CP7" s="860"/>
      <c r="CQ7" s="860"/>
      <c r="CR7" s="860"/>
      <c r="CS7" s="860"/>
      <c r="CT7" s="860"/>
      <c r="CU7" s="860"/>
      <c r="CV7" s="860"/>
      <c r="CW7" s="860"/>
      <c r="CX7" s="860"/>
      <c r="CY7" s="860"/>
      <c r="CZ7" s="860"/>
      <c r="DA7" s="860"/>
      <c r="DB7" s="860"/>
      <c r="DC7" s="860"/>
      <c r="DD7" s="860"/>
      <c r="DE7" s="860"/>
      <c r="DF7" s="860"/>
      <c r="DG7" s="860"/>
      <c r="DH7" s="860"/>
      <c r="DI7" s="860"/>
      <c r="DJ7" s="860"/>
      <c r="DK7" s="860"/>
      <c r="DL7" s="860"/>
      <c r="DM7" s="860"/>
      <c r="DN7" s="860"/>
      <c r="DO7" s="860"/>
      <c r="DP7" s="860"/>
      <c r="DQ7" s="860"/>
      <c r="DR7" s="860"/>
      <c r="DS7" s="860"/>
      <c r="DT7" s="860"/>
      <c r="DU7" s="860"/>
      <c r="DV7" s="860"/>
      <c r="DW7" s="860"/>
      <c r="DX7" s="860"/>
      <c r="DY7" s="860"/>
      <c r="DZ7" s="860"/>
      <c r="EA7" s="860"/>
      <c r="EB7" s="860"/>
      <c r="EC7" s="860"/>
      <c r="ED7" s="860"/>
      <c r="EE7" s="860"/>
      <c r="EF7" s="860"/>
      <c r="EG7" s="860"/>
      <c r="EH7" s="860"/>
      <c r="EI7" s="860"/>
      <c r="EJ7" s="860"/>
      <c r="EK7" s="860"/>
      <c r="EL7" s="860"/>
      <c r="EM7" s="860"/>
      <c r="EN7" s="860"/>
      <c r="EO7" s="860"/>
      <c r="EP7" s="860"/>
      <c r="EQ7" s="860"/>
      <c r="ER7" s="860"/>
      <c r="ES7" s="860"/>
      <c r="ET7" s="860"/>
      <c r="EU7" s="860"/>
      <c r="EV7" s="860"/>
      <c r="EW7" s="860"/>
      <c r="EX7" s="860"/>
      <c r="EY7" s="860"/>
      <c r="EZ7" s="860"/>
      <c r="FA7" s="860"/>
      <c r="FB7" s="860"/>
      <c r="FC7" s="860"/>
      <c r="FD7" s="860"/>
      <c r="FE7" s="860"/>
      <c r="FF7" s="860"/>
      <c r="FG7" s="860"/>
      <c r="FH7" s="860"/>
      <c r="FI7" s="860"/>
      <c r="FJ7" s="860"/>
      <c r="FK7" s="860"/>
      <c r="FL7" s="860"/>
      <c r="FM7" s="860"/>
      <c r="FN7" s="860"/>
      <c r="FO7" s="860"/>
      <c r="FP7" s="860"/>
      <c r="FQ7" s="860"/>
      <c r="FR7" s="860"/>
      <c r="FS7" s="860"/>
      <c r="FT7" s="860"/>
      <c r="FU7" s="860"/>
      <c r="FV7" s="860"/>
      <c r="FW7" s="860"/>
      <c r="GC7" s="858">
        <v>10</v>
      </c>
    </row>
    <row r="8" spans="2:185" s="5265" customFormat="1" ht="11.25" hidden="1" customHeight="1">
      <c r="B8" s="861"/>
      <c r="F8" s="981"/>
      <c r="G8" s="699"/>
      <c r="H8" s="298"/>
      <c r="I8" s="298"/>
      <c r="J8" s="298"/>
      <c r="K8" s="298"/>
      <c r="L8" s="298"/>
      <c r="M8" s="981"/>
      <c r="N8" s="981"/>
      <c r="O8" s="5613" t="s">
        <v>1163</v>
      </c>
      <c r="P8" s="5614"/>
      <c r="Q8" s="5614"/>
      <c r="R8" s="5614"/>
      <c r="S8" s="5614"/>
      <c r="T8" s="5614"/>
      <c r="U8" s="5614"/>
      <c r="V8" s="5614"/>
      <c r="W8" s="5614"/>
      <c r="X8" s="5614"/>
      <c r="Y8" s="5614"/>
      <c r="Z8" s="5614"/>
      <c r="AA8" s="5614"/>
      <c r="AB8" s="5614"/>
      <c r="AC8" s="5614"/>
      <c r="AD8" s="5614"/>
      <c r="AE8" s="5614"/>
      <c r="AF8" s="5614"/>
      <c r="AG8" s="5614"/>
      <c r="AH8" s="5614"/>
      <c r="AI8" s="5614"/>
      <c r="AJ8" s="5614"/>
      <c r="AK8" s="5614"/>
      <c r="AL8" s="5614"/>
      <c r="AM8" s="5614"/>
      <c r="AN8" s="5614"/>
      <c r="AO8" s="5614"/>
      <c r="AP8" s="5614"/>
      <c r="AQ8" s="5614"/>
      <c r="AR8" s="5614"/>
      <c r="AS8" s="5614"/>
      <c r="AT8" s="5614"/>
      <c r="AU8" s="5614"/>
      <c r="AV8" s="5614"/>
      <c r="AW8" s="5614"/>
      <c r="AX8" s="5614"/>
      <c r="AY8" s="5614"/>
      <c r="AZ8" s="5614"/>
      <c r="BA8" s="5614"/>
      <c r="BB8" s="5614"/>
      <c r="BC8" s="5614"/>
      <c r="BD8" s="5614"/>
      <c r="BE8" s="5614"/>
      <c r="BF8" s="5614"/>
      <c r="BG8" s="5614"/>
      <c r="BH8" s="5614"/>
      <c r="BI8" s="5614"/>
      <c r="BJ8" s="5614"/>
      <c r="BK8" s="5614"/>
      <c r="BL8" s="5614"/>
      <c r="BM8" s="5614"/>
      <c r="BN8" s="5614"/>
      <c r="BO8" s="5614"/>
      <c r="BP8" s="5614"/>
      <c r="BQ8" s="5614"/>
      <c r="BR8" s="5614"/>
      <c r="BS8" s="5615"/>
      <c r="BT8" s="5616"/>
      <c r="BU8" s="5617"/>
      <c r="BV8" s="5617"/>
      <c r="BW8" s="5617"/>
      <c r="BX8" s="5617"/>
      <c r="BY8" s="5617"/>
      <c r="BZ8" s="5617"/>
      <c r="CA8" s="5617"/>
      <c r="CB8" s="5617"/>
      <c r="CC8" s="5617"/>
      <c r="CD8" s="5617"/>
      <c r="CE8" s="5617"/>
      <c r="CF8" s="5617"/>
      <c r="CG8" s="5617"/>
      <c r="CH8" s="5617"/>
      <c r="CI8" s="5617"/>
      <c r="CJ8" s="5617"/>
      <c r="CK8" s="5617"/>
      <c r="CL8" s="5617"/>
      <c r="CM8" s="5617"/>
      <c r="CN8" s="5617"/>
      <c r="CO8" s="5617"/>
      <c r="CP8" s="5617"/>
      <c r="CQ8" s="5617"/>
      <c r="CR8" s="5617"/>
      <c r="CS8" s="5617"/>
      <c r="CT8" s="5617"/>
      <c r="CU8" s="5617"/>
      <c r="CV8" s="5617"/>
      <c r="CW8" s="5617"/>
      <c r="CX8" s="5618"/>
      <c r="CY8" s="5619"/>
      <c r="CZ8" s="5620"/>
      <c r="DA8" s="5620"/>
      <c r="DB8" s="5620"/>
      <c r="DC8" s="5620"/>
      <c r="DD8" s="5620"/>
      <c r="DE8" s="5620"/>
      <c r="DF8" s="5620"/>
      <c r="DG8" s="5620"/>
      <c r="DH8" s="5620"/>
      <c r="DI8" s="5620"/>
      <c r="DJ8" s="5620"/>
      <c r="DK8" s="5620"/>
      <c r="DL8" s="5620"/>
      <c r="DM8" s="5620"/>
      <c r="DN8" s="5620"/>
      <c r="DO8" s="5620"/>
      <c r="DP8" s="5620"/>
      <c r="DQ8" s="5620"/>
      <c r="DR8" s="5620"/>
      <c r="DS8" s="5620"/>
      <c r="DT8" s="5620"/>
      <c r="DU8" s="5620"/>
      <c r="DV8" s="5620"/>
      <c r="DW8" s="5620"/>
      <c r="DX8" s="5621"/>
      <c r="DY8" s="5607" t="s">
        <v>1164</v>
      </c>
      <c r="DZ8" s="5608"/>
      <c r="EA8" s="5608"/>
      <c r="EB8" s="5608"/>
      <c r="EC8" s="5608"/>
      <c r="ED8" s="5608"/>
      <c r="EE8" s="5608"/>
      <c r="EF8" s="5608"/>
      <c r="EG8" s="5608"/>
      <c r="EH8" s="5608"/>
      <c r="EI8" s="5608"/>
      <c r="EJ8" s="5608"/>
      <c r="EK8" s="5608"/>
      <c r="EL8" s="5608"/>
      <c r="EM8" s="5608"/>
      <c r="EN8" s="5608"/>
      <c r="EO8" s="5608"/>
      <c r="EP8" s="5608"/>
      <c r="EQ8" s="5608"/>
      <c r="ER8" s="5608"/>
      <c r="ES8" s="5608"/>
      <c r="ET8" s="5608"/>
      <c r="EU8" s="5608"/>
      <c r="EV8" s="5608"/>
      <c r="EW8" s="5608"/>
      <c r="EX8" s="5608"/>
      <c r="EY8" s="5608"/>
      <c r="EZ8" s="5608"/>
      <c r="FA8" s="5608"/>
      <c r="FB8" s="5608"/>
      <c r="FC8" s="5608"/>
      <c r="FD8" s="5608"/>
      <c r="FE8" s="5608"/>
      <c r="FF8" s="5608"/>
      <c r="FG8" s="5608"/>
      <c r="FH8" s="5608"/>
      <c r="FI8" s="5608"/>
      <c r="FJ8" s="5608"/>
      <c r="FK8" s="5608"/>
      <c r="FL8" s="5608"/>
      <c r="FM8" s="5608"/>
      <c r="FN8" s="5608"/>
      <c r="FO8" s="5608"/>
      <c r="FP8" s="5608"/>
      <c r="FQ8" s="5608"/>
      <c r="FR8" s="5608"/>
      <c r="FS8" s="5608"/>
      <c r="FT8" s="5608"/>
      <c r="FU8" s="5608"/>
      <c r="FV8" s="5608"/>
      <c r="FW8" s="5609"/>
      <c r="FX8" s="981"/>
      <c r="GC8" s="860">
        <v>0</v>
      </c>
    </row>
    <row r="9" spans="2:185" s="5265" customFormat="1" ht="11.25" hidden="1" customHeight="1">
      <c r="B9" s="861"/>
      <c r="F9" s="981"/>
      <c r="G9" s="699"/>
      <c r="H9" s="298"/>
      <c r="I9" s="298"/>
      <c r="J9" s="298"/>
      <c r="K9" s="298"/>
      <c r="L9" s="298"/>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1"/>
      <c r="AR9" s="981"/>
      <c r="AS9" s="981"/>
      <c r="AT9" s="981"/>
      <c r="AU9" s="981"/>
      <c r="AV9" s="981"/>
      <c r="AW9" s="981"/>
      <c r="AX9" s="981"/>
      <c r="AY9" s="981"/>
      <c r="AZ9" s="981"/>
      <c r="BA9" s="981"/>
      <c r="BB9" s="981"/>
      <c r="BC9" s="981"/>
      <c r="BD9" s="981"/>
      <c r="BE9" s="981"/>
      <c r="BF9" s="981"/>
      <c r="BG9" s="981"/>
      <c r="BH9" s="981"/>
      <c r="BI9" s="981"/>
      <c r="BJ9" s="981"/>
      <c r="BK9" s="981"/>
      <c r="BL9" s="981"/>
      <c r="BM9" s="981"/>
      <c r="BN9" s="981"/>
      <c r="BO9" s="981"/>
      <c r="BP9" s="981"/>
      <c r="BQ9" s="981"/>
      <c r="BR9" s="981"/>
      <c r="BS9" s="981"/>
      <c r="BT9" s="981"/>
      <c r="BU9" s="981"/>
      <c r="BV9" s="981"/>
      <c r="BW9" s="981"/>
      <c r="BX9" s="981"/>
      <c r="BY9" s="981"/>
      <c r="BZ9" s="981"/>
      <c r="CA9" s="981"/>
      <c r="CB9" s="981"/>
      <c r="CC9" s="981"/>
      <c r="CD9" s="981"/>
      <c r="CE9" s="981"/>
      <c r="CF9" s="981"/>
      <c r="CG9" s="981"/>
      <c r="CH9" s="981"/>
      <c r="CI9" s="981"/>
      <c r="CJ9" s="981"/>
      <c r="CK9" s="981"/>
      <c r="CL9" s="981"/>
      <c r="CM9" s="981"/>
      <c r="CN9" s="981"/>
      <c r="CO9" s="981"/>
      <c r="CP9" s="981"/>
      <c r="CQ9" s="981"/>
      <c r="CR9" s="981"/>
      <c r="CS9" s="981"/>
      <c r="CT9" s="981"/>
      <c r="CU9" s="981"/>
      <c r="CV9" s="981"/>
      <c r="CW9" s="981"/>
      <c r="CX9" s="981"/>
      <c r="CY9" s="981"/>
      <c r="CZ9" s="981"/>
      <c r="DA9" s="981"/>
      <c r="DB9" s="981"/>
      <c r="DC9" s="981"/>
      <c r="DD9" s="981"/>
      <c r="DE9" s="981"/>
      <c r="DF9" s="981"/>
      <c r="DG9" s="981"/>
      <c r="DH9" s="981"/>
      <c r="DI9" s="981"/>
      <c r="DJ9" s="981"/>
      <c r="DK9" s="981"/>
      <c r="DL9" s="981"/>
      <c r="DM9" s="981"/>
      <c r="DN9" s="981"/>
      <c r="DO9" s="981"/>
      <c r="DP9" s="981"/>
      <c r="DQ9" s="981"/>
      <c r="DR9" s="981"/>
      <c r="DS9" s="981"/>
      <c r="DT9" s="981"/>
      <c r="DU9" s="981"/>
      <c r="DV9" s="981"/>
      <c r="DW9" s="981"/>
      <c r="DX9" s="981"/>
      <c r="DY9" s="981"/>
      <c r="DZ9" s="981"/>
      <c r="EA9" s="981"/>
      <c r="EB9" s="981"/>
      <c r="EC9" s="981"/>
      <c r="ED9" s="981"/>
      <c r="EE9" s="981"/>
      <c r="EF9" s="981"/>
      <c r="EG9" s="981"/>
      <c r="EH9" s="981"/>
      <c r="EI9" s="981"/>
      <c r="EJ9" s="981"/>
      <c r="EK9" s="981"/>
      <c r="EL9" s="981"/>
      <c r="EM9" s="981"/>
      <c r="EN9" s="981"/>
      <c r="EO9" s="981"/>
      <c r="EP9" s="981"/>
      <c r="EQ9" s="981"/>
      <c r="ER9" s="981"/>
      <c r="ES9" s="981"/>
      <c r="ET9" s="981"/>
      <c r="EU9" s="981"/>
      <c r="EV9" s="981"/>
      <c r="EW9" s="981"/>
      <c r="EX9" s="981"/>
      <c r="EY9" s="981"/>
      <c r="EZ9" s="981"/>
      <c r="FA9" s="981"/>
      <c r="FB9" s="981"/>
      <c r="FC9" s="981"/>
      <c r="FD9" s="981"/>
      <c r="FE9" s="981"/>
      <c r="FF9" s="981"/>
      <c r="FG9" s="981"/>
      <c r="FH9" s="981"/>
      <c r="FI9" s="981"/>
      <c r="FJ9" s="981"/>
      <c r="FK9" s="981"/>
      <c r="FL9" s="981"/>
      <c r="FM9" s="981"/>
      <c r="FN9" s="981"/>
      <c r="FO9" s="981"/>
      <c r="FP9" s="981"/>
      <c r="FQ9" s="981"/>
      <c r="FR9" s="981"/>
      <c r="FS9" s="981"/>
      <c r="FT9" s="981"/>
      <c r="FU9" s="981"/>
      <c r="FV9" s="981"/>
      <c r="FW9" s="5610"/>
      <c r="FX9" s="981"/>
      <c r="GC9" s="860">
        <v>0</v>
      </c>
    </row>
    <row r="10" spans="2:185" s="5265" customFormat="1" ht="11.45" customHeight="1">
      <c r="B10" s="861"/>
      <c r="F10" s="5587" t="s">
        <v>393</v>
      </c>
      <c r="G10" s="5623"/>
      <c r="H10" s="5623"/>
      <c r="I10" s="5623"/>
      <c r="J10" s="5623"/>
      <c r="K10" s="5623"/>
      <c r="L10" s="5623"/>
      <c r="M10" s="5623"/>
      <c r="N10" s="5623"/>
      <c r="O10" s="5623"/>
      <c r="P10" s="5623"/>
      <c r="Q10" s="5623"/>
      <c r="R10" s="5623"/>
      <c r="S10" s="5623"/>
      <c r="T10" s="5623"/>
      <c r="U10" s="5623"/>
      <c r="V10" s="5623"/>
      <c r="W10" s="5623"/>
      <c r="X10" s="5623"/>
      <c r="Y10" s="5623"/>
      <c r="Z10" s="5623"/>
      <c r="AA10" s="5623"/>
      <c r="AB10" s="5623"/>
      <c r="AC10" s="5623"/>
      <c r="AD10" s="5623"/>
      <c r="AE10" s="5623"/>
      <c r="AF10" s="5623"/>
      <c r="AG10" s="5623"/>
      <c r="AH10" s="5623"/>
      <c r="AI10" s="5623"/>
      <c r="AJ10" s="5623"/>
      <c r="AK10" s="5623"/>
      <c r="AL10" s="5623"/>
      <c r="AM10" s="5623"/>
      <c r="AN10" s="5623"/>
      <c r="AO10" s="5623"/>
      <c r="AP10" s="5623"/>
      <c r="AQ10" s="5623"/>
      <c r="AR10" s="5623"/>
      <c r="AS10" s="5623"/>
      <c r="AT10" s="5623"/>
      <c r="AU10" s="5623"/>
      <c r="AV10" s="5623"/>
      <c r="AW10" s="5623"/>
      <c r="AX10" s="5623"/>
      <c r="AY10" s="5623"/>
      <c r="AZ10" s="5623"/>
      <c r="BA10" s="5623"/>
      <c r="BB10" s="5623"/>
      <c r="BC10" s="5623"/>
      <c r="BD10" s="5623"/>
      <c r="BE10" s="5623"/>
      <c r="BF10" s="5623"/>
      <c r="BG10" s="5623"/>
      <c r="BH10" s="5623"/>
      <c r="BI10" s="5623"/>
      <c r="BJ10" s="5623"/>
      <c r="BK10" s="5623"/>
      <c r="BL10" s="5623"/>
      <c r="BM10" s="5623"/>
      <c r="BN10" s="5623"/>
      <c r="BO10" s="5623"/>
      <c r="BP10" s="5623"/>
      <c r="BQ10" s="5623"/>
      <c r="BR10" s="5623"/>
      <c r="BS10" s="5623"/>
      <c r="BT10" s="5623"/>
      <c r="BU10" s="5623"/>
      <c r="BV10" s="5623"/>
      <c r="BW10" s="5623"/>
      <c r="BX10" s="5623"/>
      <c r="BY10" s="5623"/>
      <c r="BZ10" s="5623"/>
      <c r="CA10" s="5623"/>
      <c r="CB10" s="5623"/>
      <c r="CC10" s="5623"/>
      <c r="CD10" s="5623"/>
      <c r="CE10" s="5623"/>
      <c r="CF10" s="5623"/>
      <c r="CG10" s="5623"/>
      <c r="CH10" s="5623"/>
      <c r="CI10" s="5623"/>
      <c r="CJ10" s="5623"/>
      <c r="CK10" s="5623"/>
      <c r="CL10" s="5623"/>
      <c r="CM10" s="5623"/>
      <c r="CN10" s="5623"/>
      <c r="CO10" s="5623"/>
      <c r="CP10" s="5623"/>
      <c r="CQ10" s="5623"/>
      <c r="CR10" s="5623"/>
      <c r="CS10" s="5623"/>
      <c r="CT10" s="5623"/>
      <c r="CU10" s="5623"/>
      <c r="CV10" s="5623"/>
      <c r="CW10" s="5623"/>
      <c r="CX10" s="5623"/>
      <c r="CY10" s="5623"/>
      <c r="CZ10" s="5623"/>
      <c r="DA10" s="5623"/>
      <c r="DB10" s="5623"/>
      <c r="DC10" s="5623"/>
      <c r="DD10" s="5623"/>
      <c r="DE10" s="5623"/>
      <c r="DF10" s="5623"/>
      <c r="DG10" s="5623"/>
      <c r="DH10" s="5623"/>
      <c r="DI10" s="5623"/>
      <c r="DJ10" s="5623"/>
      <c r="DK10" s="5623"/>
      <c r="DL10" s="5623"/>
      <c r="DM10" s="5623"/>
      <c r="DN10" s="5623"/>
      <c r="DO10" s="5623"/>
      <c r="DP10" s="5623"/>
      <c r="DQ10" s="5623"/>
      <c r="DR10" s="5623"/>
      <c r="DS10" s="5623"/>
      <c r="DT10" s="5623"/>
      <c r="DU10" s="5623"/>
      <c r="DV10" s="5623"/>
      <c r="DW10" s="5623"/>
      <c r="DX10" s="5623"/>
      <c r="DY10" s="5623"/>
      <c r="DZ10" s="5623"/>
      <c r="EA10" s="5623"/>
      <c r="EB10" s="5623"/>
      <c r="EC10" s="5623"/>
      <c r="ED10" s="5623"/>
      <c r="EE10" s="5623"/>
      <c r="EF10" s="5623"/>
      <c r="EG10" s="5623"/>
      <c r="EH10" s="5623"/>
      <c r="EI10" s="5623"/>
      <c r="EJ10" s="5623"/>
      <c r="EK10" s="5623"/>
      <c r="EL10" s="5623"/>
      <c r="EM10" s="5623"/>
      <c r="EN10" s="5623"/>
      <c r="EO10" s="5623"/>
      <c r="EP10" s="5623"/>
      <c r="EQ10" s="5623"/>
      <c r="ER10" s="5623"/>
      <c r="ES10" s="5623"/>
      <c r="ET10" s="5623"/>
      <c r="EU10" s="5623"/>
      <c r="EV10" s="5623"/>
      <c r="EW10" s="5623"/>
      <c r="EX10" s="5623"/>
      <c r="EY10" s="5623"/>
      <c r="EZ10" s="5623"/>
      <c r="FA10" s="5623"/>
      <c r="FB10" s="5623"/>
      <c r="FC10" s="5623"/>
      <c r="FD10" s="5623"/>
      <c r="FE10" s="5623"/>
      <c r="FF10" s="5623"/>
      <c r="FG10" s="5623"/>
      <c r="FH10" s="5623"/>
      <c r="FI10" s="5623"/>
      <c r="FJ10" s="5623"/>
      <c r="FK10" s="5623"/>
      <c r="FL10" s="5623"/>
      <c r="FM10" s="5623"/>
      <c r="FN10" s="5623"/>
      <c r="FO10" s="5623"/>
      <c r="FP10" s="5623"/>
      <c r="FQ10" s="5623"/>
      <c r="FR10" s="5623"/>
      <c r="FS10" s="5623"/>
      <c r="FT10" s="5623"/>
      <c r="FU10" s="5623"/>
      <c r="FV10" s="5624"/>
      <c r="FW10" s="5610"/>
      <c r="FX10" s="981"/>
      <c r="GC10" s="860">
        <v>11</v>
      </c>
    </row>
    <row r="11" spans="2:185" ht="12.75" customHeight="1">
      <c r="E11" s="864"/>
      <c r="F11" s="5427" t="s">
        <v>88</v>
      </c>
      <c r="G11" s="5427" t="s">
        <v>1165</v>
      </c>
      <c r="H11" s="5427" t="s">
        <v>1166</v>
      </c>
      <c r="I11" s="5427" t="s">
        <v>1167</v>
      </c>
      <c r="J11" s="5622"/>
      <c r="K11" s="5622"/>
      <c r="L11" s="5622"/>
      <c r="M11" s="5622"/>
      <c r="N11" s="5622"/>
      <c r="O11" s="5431" t="s">
        <v>1168</v>
      </c>
      <c r="P11" s="5431"/>
      <c r="Q11" s="5431"/>
      <c r="R11" s="5431"/>
      <c r="S11" s="5431"/>
      <c r="T11" s="5431"/>
      <c r="U11" s="5431"/>
      <c r="V11" s="5431"/>
      <c r="W11" s="5431"/>
      <c r="X11" s="5431"/>
      <c r="Y11" s="5431"/>
      <c r="Z11" s="5431"/>
      <c r="AA11" s="5431"/>
      <c r="AB11" s="5431"/>
      <c r="AC11" s="5605"/>
      <c r="AD11" s="5605"/>
      <c r="AE11" s="5605"/>
      <c r="AF11" s="5605"/>
      <c r="AG11" s="5605"/>
      <c r="AH11" s="5605"/>
      <c r="AI11" s="5605"/>
      <c r="AJ11" s="5605"/>
      <c r="AK11" s="5605"/>
      <c r="AL11" s="5605"/>
      <c r="AM11" s="5605"/>
      <c r="AN11" s="5605"/>
      <c r="AO11" s="5605"/>
      <c r="AP11" s="5605"/>
      <c r="AQ11" s="5605"/>
      <c r="AR11" s="5605"/>
      <c r="AS11" s="5605"/>
      <c r="AT11" s="5605"/>
      <c r="AU11" s="5605"/>
      <c r="AV11" s="5605"/>
      <c r="AW11" s="5605"/>
      <c r="AX11" s="5605"/>
      <c r="AY11" s="5605"/>
      <c r="AZ11" s="5605"/>
      <c r="BA11" s="5605"/>
      <c r="BB11" s="5605"/>
      <c r="BC11" s="5605"/>
      <c r="BD11" s="5605"/>
      <c r="BE11" s="5605"/>
      <c r="BF11" s="5605"/>
      <c r="BG11" s="5605"/>
      <c r="BH11" s="5605"/>
      <c r="BI11" s="5605"/>
      <c r="BJ11" s="5605"/>
      <c r="BK11" s="5605"/>
      <c r="BL11" s="5605"/>
      <c r="BM11" s="5605"/>
      <c r="BN11" s="5605"/>
      <c r="BO11" s="5605"/>
      <c r="BP11" s="5605"/>
      <c r="BQ11" s="5605"/>
      <c r="BR11" s="5605"/>
      <c r="BS11" s="5606"/>
      <c r="BT11" s="5573" t="s">
        <v>1168</v>
      </c>
      <c r="BU11" s="5574"/>
      <c r="BV11" s="5574"/>
      <c r="BW11" s="5574"/>
      <c r="BX11" s="5574"/>
      <c r="BY11" s="5574"/>
      <c r="BZ11" s="5574"/>
      <c r="CA11" s="5574"/>
      <c r="CB11" s="5574"/>
      <c r="CC11" s="5574"/>
      <c r="CD11" s="5574"/>
      <c r="CE11" s="5574"/>
      <c r="CF11" s="5574"/>
      <c r="CG11" s="5574"/>
      <c r="CH11" s="5574"/>
      <c r="CI11" s="5574"/>
      <c r="CJ11" s="5574"/>
      <c r="CK11" s="5604"/>
      <c r="CL11" s="5612"/>
      <c r="CM11" s="5605"/>
      <c r="CN11" s="5605"/>
      <c r="CO11" s="5605"/>
      <c r="CP11" s="5605"/>
      <c r="CQ11" s="5605"/>
      <c r="CR11" s="5605"/>
      <c r="CS11" s="5605"/>
      <c r="CT11" s="5605"/>
      <c r="CU11" s="5605"/>
      <c r="CV11" s="5605"/>
      <c r="CW11" s="5605"/>
      <c r="CX11" s="5606"/>
      <c r="CY11" s="5573" t="s">
        <v>1168</v>
      </c>
      <c r="CZ11" s="5574"/>
      <c r="DA11" s="5574"/>
      <c r="DB11" s="5574"/>
      <c r="DC11" s="5574"/>
      <c r="DD11" s="5574"/>
      <c r="DE11" s="5574"/>
      <c r="DF11" s="5574"/>
      <c r="DG11" s="5574"/>
      <c r="DH11" s="5574"/>
      <c r="DI11" s="5574"/>
      <c r="DJ11" s="5604"/>
      <c r="DK11" s="5612"/>
      <c r="DL11" s="5605"/>
      <c r="DM11" s="5605"/>
      <c r="DN11" s="5605"/>
      <c r="DO11" s="5605"/>
      <c r="DP11" s="5605"/>
      <c r="DQ11" s="5605"/>
      <c r="DR11" s="5605"/>
      <c r="DS11" s="5605"/>
      <c r="DT11" s="5605"/>
      <c r="DU11" s="5605"/>
      <c r="DV11" s="5605"/>
      <c r="DW11" s="5605"/>
      <c r="DX11" s="5605"/>
      <c r="DY11" s="5605"/>
      <c r="DZ11" s="5605"/>
      <c r="EA11" s="5605"/>
      <c r="EB11" s="5605"/>
      <c r="EC11" s="5605"/>
      <c r="ED11" s="5605"/>
      <c r="EE11" s="5605"/>
      <c r="EF11" s="5605"/>
      <c r="EG11" s="5605"/>
      <c r="EH11" s="5605"/>
      <c r="EI11" s="5605"/>
      <c r="EJ11" s="5605"/>
      <c r="EK11" s="5605"/>
      <c r="EL11" s="5605"/>
      <c r="EM11" s="5605"/>
      <c r="EN11" s="5605"/>
      <c r="EO11" s="5605"/>
      <c r="EP11" s="5605"/>
      <c r="EQ11" s="5605"/>
      <c r="ER11" s="5605"/>
      <c r="ES11" s="5605"/>
      <c r="ET11" s="5605"/>
      <c r="EU11" s="5605"/>
      <c r="EV11" s="5605"/>
      <c r="EW11" s="5605"/>
      <c r="EX11" s="5605"/>
      <c r="EY11" s="5605"/>
      <c r="EZ11" s="5605"/>
      <c r="FA11" s="5605"/>
      <c r="FB11" s="5605"/>
      <c r="FC11" s="5605"/>
      <c r="FD11" s="5605"/>
      <c r="FE11" s="5605"/>
      <c r="FF11" s="5605"/>
      <c r="FG11" s="5605"/>
      <c r="FH11" s="5605"/>
      <c r="FI11" s="5605"/>
      <c r="FJ11" s="5605"/>
      <c r="FK11" s="5605"/>
      <c r="FL11" s="5605"/>
      <c r="FM11" s="5605"/>
      <c r="FN11" s="5605"/>
      <c r="FO11" s="5605"/>
      <c r="FP11" s="5605"/>
      <c r="FQ11" s="5605"/>
      <c r="FR11" s="5605"/>
      <c r="FS11" s="5605"/>
      <c r="FT11" s="5605"/>
      <c r="FU11" s="5605"/>
      <c r="FV11" s="5605"/>
      <c r="FW11" s="5610"/>
      <c r="FX11" s="698"/>
      <c r="GC11" s="853">
        <v>12</v>
      </c>
    </row>
    <row r="12" spans="2:185" ht="12.75" customHeight="1">
      <c r="D12" s="865"/>
      <c r="E12" s="864"/>
      <c r="F12" s="5427"/>
      <c r="G12" s="5427"/>
      <c r="H12" s="5427"/>
      <c r="I12" s="5427"/>
      <c r="J12" s="5622"/>
      <c r="K12" s="5622"/>
      <c r="L12" s="5622"/>
      <c r="M12" s="5622"/>
      <c r="N12" s="5622"/>
      <c r="O12" s="5431" t="s">
        <v>1169</v>
      </c>
      <c r="P12" s="5431"/>
      <c r="Q12" s="5431"/>
      <c r="R12" s="5431"/>
      <c r="S12" s="5431" t="s">
        <v>1170</v>
      </c>
      <c r="T12" s="5431"/>
      <c r="U12" s="5431"/>
      <c r="V12" s="5431"/>
      <c r="W12" s="5431"/>
      <c r="X12" s="5431"/>
      <c r="Y12" s="5431"/>
      <c r="Z12" s="5431"/>
      <c r="AA12" s="5431"/>
      <c r="AB12" s="5431"/>
      <c r="AC12" s="5605"/>
      <c r="AD12" s="5605"/>
      <c r="AE12" s="5605"/>
      <c r="AF12" s="5605"/>
      <c r="AG12" s="5605"/>
      <c r="AH12" s="5605"/>
      <c r="AI12" s="5605"/>
      <c r="AJ12" s="5605"/>
      <c r="AK12" s="5605"/>
      <c r="AL12" s="5605"/>
      <c r="AM12" s="5605"/>
      <c r="AN12" s="5605"/>
      <c r="AO12" s="5605"/>
      <c r="AP12" s="5605"/>
      <c r="AQ12" s="5605"/>
      <c r="AR12" s="5605"/>
      <c r="AS12" s="5605"/>
      <c r="AT12" s="5605"/>
      <c r="AU12" s="5605"/>
      <c r="AV12" s="5605"/>
      <c r="AW12" s="5605"/>
      <c r="AX12" s="5605"/>
      <c r="AY12" s="5605"/>
      <c r="AZ12" s="5605"/>
      <c r="BA12" s="5605"/>
      <c r="BB12" s="5605"/>
      <c r="BC12" s="5605"/>
      <c r="BD12" s="5605"/>
      <c r="BE12" s="5605"/>
      <c r="BF12" s="5605"/>
      <c r="BG12" s="5605"/>
      <c r="BH12" s="5605"/>
      <c r="BI12" s="5605"/>
      <c r="BJ12" s="5605"/>
      <c r="BK12" s="5605"/>
      <c r="BL12" s="5605"/>
      <c r="BM12" s="5605"/>
      <c r="BN12" s="5605"/>
      <c r="BO12" s="5605"/>
      <c r="BP12" s="5605"/>
      <c r="BQ12" s="5605"/>
      <c r="BR12" s="5605"/>
      <c r="BS12" s="5606"/>
      <c r="BT12" s="5573" t="s">
        <v>1171</v>
      </c>
      <c r="BU12" s="5574"/>
      <c r="BV12" s="5574"/>
      <c r="BW12" s="5604"/>
      <c r="BX12" s="5573" t="s">
        <v>1172</v>
      </c>
      <c r="BY12" s="5574"/>
      <c r="BZ12" s="5574"/>
      <c r="CA12" s="5604"/>
      <c r="CB12" s="5573" t="s">
        <v>1173</v>
      </c>
      <c r="CC12" s="5604"/>
      <c r="CD12" s="5573" t="s">
        <v>1174</v>
      </c>
      <c r="CE12" s="5574"/>
      <c r="CF12" s="5574"/>
      <c r="CG12" s="5574"/>
      <c r="CH12" s="5574"/>
      <c r="CI12" s="5574"/>
      <c r="CJ12" s="5574"/>
      <c r="CK12" s="5604"/>
      <c r="CL12" s="5612"/>
      <c r="CM12" s="5605"/>
      <c r="CN12" s="5605"/>
      <c r="CO12" s="5605"/>
      <c r="CP12" s="5605"/>
      <c r="CQ12" s="5605"/>
      <c r="CR12" s="5605"/>
      <c r="CS12" s="5605"/>
      <c r="CT12" s="5605"/>
      <c r="CU12" s="5605"/>
      <c r="CV12" s="5605"/>
      <c r="CW12" s="5605"/>
      <c r="CX12" s="5606"/>
      <c r="CY12" s="5573" t="s">
        <v>1175</v>
      </c>
      <c r="CZ12" s="5574"/>
      <c r="DA12" s="5574"/>
      <c r="DB12" s="5574"/>
      <c r="DC12" s="5574"/>
      <c r="DD12" s="5604"/>
      <c r="DE12" s="5573" t="s">
        <v>1176</v>
      </c>
      <c r="DF12" s="5604"/>
      <c r="DG12" s="5573" t="s">
        <v>1174</v>
      </c>
      <c r="DH12" s="5574"/>
      <c r="DI12" s="5574"/>
      <c r="DJ12" s="5604"/>
      <c r="DK12" s="5612"/>
      <c r="DL12" s="5605"/>
      <c r="DM12" s="5605"/>
      <c r="DN12" s="5605"/>
      <c r="DO12" s="5605"/>
      <c r="DP12" s="5605"/>
      <c r="DQ12" s="5605"/>
      <c r="DR12" s="5605"/>
      <c r="DS12" s="5605"/>
      <c r="DT12" s="5605"/>
      <c r="DU12" s="5605"/>
      <c r="DV12" s="5605"/>
      <c r="DW12" s="5605"/>
      <c r="DX12" s="5605"/>
      <c r="DY12" s="5605"/>
      <c r="DZ12" s="5605"/>
      <c r="EA12" s="5605"/>
      <c r="EB12" s="5605"/>
      <c r="EC12" s="5605"/>
      <c r="ED12" s="5605"/>
      <c r="EE12" s="5605"/>
      <c r="EF12" s="5605"/>
      <c r="EG12" s="5605"/>
      <c r="EH12" s="5605"/>
      <c r="EI12" s="5605"/>
      <c r="EJ12" s="5605"/>
      <c r="EK12" s="5605"/>
      <c r="EL12" s="5605"/>
      <c r="EM12" s="5605"/>
      <c r="EN12" s="5605"/>
      <c r="EO12" s="5605"/>
      <c r="EP12" s="5605"/>
      <c r="EQ12" s="5605"/>
      <c r="ER12" s="5605"/>
      <c r="ES12" s="5605"/>
      <c r="ET12" s="5605"/>
      <c r="EU12" s="5605"/>
      <c r="EV12" s="5605"/>
      <c r="EW12" s="5605"/>
      <c r="EX12" s="5605"/>
      <c r="EY12" s="5605"/>
      <c r="EZ12" s="5605"/>
      <c r="FA12" s="5605"/>
      <c r="FB12" s="5605"/>
      <c r="FC12" s="5605"/>
      <c r="FD12" s="5605"/>
      <c r="FE12" s="5605"/>
      <c r="FF12" s="5605"/>
      <c r="FG12" s="5605"/>
      <c r="FH12" s="5605"/>
      <c r="FI12" s="5605"/>
      <c r="FJ12" s="5605"/>
      <c r="FK12" s="5605"/>
      <c r="FL12" s="5605"/>
      <c r="FM12" s="5605"/>
      <c r="FN12" s="5605"/>
      <c r="FO12" s="5605"/>
      <c r="FP12" s="5605"/>
      <c r="FQ12" s="5605"/>
      <c r="FR12" s="5605"/>
      <c r="FS12" s="5605"/>
      <c r="FT12" s="5605"/>
      <c r="FU12" s="5605"/>
      <c r="FV12" s="5605"/>
      <c r="FW12" s="5610"/>
      <c r="FX12" s="698"/>
      <c r="GC12" s="853">
        <v>12</v>
      </c>
    </row>
    <row r="13" spans="2:185" ht="37.9" customHeight="1">
      <c r="D13" s="865"/>
      <c r="E13" s="864"/>
      <c r="F13" s="5427"/>
      <c r="G13" s="5427"/>
      <c r="H13" s="5427"/>
      <c r="I13" s="5427"/>
      <c r="J13" s="5622"/>
      <c r="K13" s="5622"/>
      <c r="L13" s="5622"/>
      <c r="M13" s="5622"/>
      <c r="N13" s="5622"/>
      <c r="O13" s="5431" t="s">
        <v>1177</v>
      </c>
      <c r="P13" s="5431"/>
      <c r="Q13" s="5431"/>
      <c r="R13" s="5431"/>
      <c r="S13" s="5531" t="s">
        <v>1178</v>
      </c>
      <c r="T13" s="5575"/>
      <c r="U13" s="5328" t="s">
        <v>1179</v>
      </c>
      <c r="V13" s="5328"/>
      <c r="W13" s="5328"/>
      <c r="X13" s="5328"/>
      <c r="Y13" s="5328" t="s">
        <v>1180</v>
      </c>
      <c r="Z13" s="5328"/>
      <c r="AA13" s="5328"/>
      <c r="AB13" s="5328"/>
      <c r="AC13" s="5605"/>
      <c r="AD13" s="5605"/>
      <c r="AE13" s="5605"/>
      <c r="AF13" s="5605"/>
      <c r="AG13" s="5605"/>
      <c r="AH13" s="5605"/>
      <c r="AI13" s="5605"/>
      <c r="AJ13" s="5605"/>
      <c r="AK13" s="5605"/>
      <c r="AL13" s="5605"/>
      <c r="AM13" s="5605"/>
      <c r="AN13" s="5605"/>
      <c r="AO13" s="5605"/>
      <c r="AP13" s="5605"/>
      <c r="AQ13" s="5605"/>
      <c r="AR13" s="5605"/>
      <c r="AS13" s="5605"/>
      <c r="AT13" s="5605"/>
      <c r="AU13" s="5605"/>
      <c r="AV13" s="5605"/>
      <c r="AW13" s="5605"/>
      <c r="AX13" s="5605"/>
      <c r="AY13" s="5605"/>
      <c r="AZ13" s="5605"/>
      <c r="BA13" s="5605"/>
      <c r="BB13" s="5605"/>
      <c r="BC13" s="5605"/>
      <c r="BD13" s="5605"/>
      <c r="BE13" s="5605"/>
      <c r="BF13" s="5605"/>
      <c r="BG13" s="5605"/>
      <c r="BH13" s="5605"/>
      <c r="BI13" s="5605"/>
      <c r="BJ13" s="5605"/>
      <c r="BK13" s="5605"/>
      <c r="BL13" s="5605"/>
      <c r="BM13" s="5605"/>
      <c r="BN13" s="5605"/>
      <c r="BO13" s="5605"/>
      <c r="BP13" s="5605"/>
      <c r="BQ13" s="5605"/>
      <c r="BR13" s="5605"/>
      <c r="BS13" s="5606"/>
      <c r="BT13" s="5531" t="s">
        <v>1181</v>
      </c>
      <c r="BU13" s="5575"/>
      <c r="BV13" s="5531" t="s">
        <v>1182</v>
      </c>
      <c r="BW13" s="5575"/>
      <c r="BX13" s="5531" t="s">
        <v>1183</v>
      </c>
      <c r="BY13" s="5575"/>
      <c r="BZ13" s="5531" t="s">
        <v>1184</v>
      </c>
      <c r="CA13" s="5575"/>
      <c r="CB13" s="5531" t="s">
        <v>1185</v>
      </c>
      <c r="CC13" s="5575"/>
      <c r="CD13" s="5531" t="s">
        <v>1186</v>
      </c>
      <c r="CE13" s="5575"/>
      <c r="CF13" s="5531" t="s">
        <v>1187</v>
      </c>
      <c r="CG13" s="5575"/>
      <c r="CH13" s="5573" t="s">
        <v>1188</v>
      </c>
      <c r="CI13" s="5574"/>
      <c r="CJ13" s="5574"/>
      <c r="CK13" s="5604"/>
      <c r="CL13" s="5612"/>
      <c r="CM13" s="5605"/>
      <c r="CN13" s="5605"/>
      <c r="CO13" s="5605"/>
      <c r="CP13" s="5605"/>
      <c r="CQ13" s="5605"/>
      <c r="CR13" s="5605"/>
      <c r="CS13" s="5605"/>
      <c r="CT13" s="5605"/>
      <c r="CU13" s="5605"/>
      <c r="CV13" s="5605"/>
      <c r="CW13" s="5605"/>
      <c r="CX13" s="5606"/>
      <c r="CY13" s="5531" t="s">
        <v>1189</v>
      </c>
      <c r="CZ13" s="5575"/>
      <c r="DA13" s="5531" t="s">
        <v>1190</v>
      </c>
      <c r="DB13" s="5575"/>
      <c r="DC13" s="5531" t="s">
        <v>1191</v>
      </c>
      <c r="DD13" s="5575"/>
      <c r="DE13" s="5531" t="s">
        <v>1192</v>
      </c>
      <c r="DF13" s="5575"/>
      <c r="DG13" s="5573" t="s">
        <v>1193</v>
      </c>
      <c r="DH13" s="5574"/>
      <c r="DI13" s="5574"/>
      <c r="DJ13" s="5604"/>
      <c r="DK13" s="5612"/>
      <c r="DL13" s="5605"/>
      <c r="DM13" s="5605"/>
      <c r="DN13" s="5605"/>
      <c r="DO13" s="5605"/>
      <c r="DP13" s="5605"/>
      <c r="DQ13" s="5605"/>
      <c r="DR13" s="5605"/>
      <c r="DS13" s="5605"/>
      <c r="DT13" s="5605"/>
      <c r="DU13" s="5605"/>
      <c r="DV13" s="5605"/>
      <c r="DW13" s="5605"/>
      <c r="DX13" s="5605"/>
      <c r="DY13" s="5605"/>
      <c r="DZ13" s="5605"/>
      <c r="EA13" s="5605"/>
      <c r="EB13" s="5605"/>
      <c r="EC13" s="5605"/>
      <c r="ED13" s="5605"/>
      <c r="EE13" s="5605"/>
      <c r="EF13" s="5605"/>
      <c r="EG13" s="5605"/>
      <c r="EH13" s="5605"/>
      <c r="EI13" s="5605"/>
      <c r="EJ13" s="5605"/>
      <c r="EK13" s="5605"/>
      <c r="EL13" s="5605"/>
      <c r="EM13" s="5605"/>
      <c r="EN13" s="5605"/>
      <c r="EO13" s="5605"/>
      <c r="EP13" s="5605"/>
      <c r="EQ13" s="5605"/>
      <c r="ER13" s="5605"/>
      <c r="ES13" s="5605"/>
      <c r="ET13" s="5605"/>
      <c r="EU13" s="5605"/>
      <c r="EV13" s="5605"/>
      <c r="EW13" s="5605"/>
      <c r="EX13" s="5605"/>
      <c r="EY13" s="5605"/>
      <c r="EZ13" s="5605"/>
      <c r="FA13" s="5605"/>
      <c r="FB13" s="5605"/>
      <c r="FC13" s="5605"/>
      <c r="FD13" s="5605"/>
      <c r="FE13" s="5605"/>
      <c r="FF13" s="5605"/>
      <c r="FG13" s="5605"/>
      <c r="FH13" s="5605"/>
      <c r="FI13" s="5605"/>
      <c r="FJ13" s="5605"/>
      <c r="FK13" s="5605"/>
      <c r="FL13" s="5605"/>
      <c r="FM13" s="5605"/>
      <c r="FN13" s="5605"/>
      <c r="FO13" s="5605"/>
      <c r="FP13" s="5605"/>
      <c r="FQ13" s="5605"/>
      <c r="FR13" s="5605"/>
      <c r="FS13" s="5605"/>
      <c r="FT13" s="5605"/>
      <c r="FU13" s="5605"/>
      <c r="FV13" s="5605"/>
      <c r="FW13" s="5610"/>
      <c r="FX13" s="698"/>
      <c r="GC13" s="853">
        <v>36</v>
      </c>
    </row>
    <row r="14" spans="2:185" ht="37.9" customHeight="1">
      <c r="D14" s="865"/>
      <c r="E14" s="864"/>
      <c r="F14" s="5427"/>
      <c r="G14" s="5427"/>
      <c r="H14" s="5427"/>
      <c r="I14" s="5427"/>
      <c r="J14" s="5622"/>
      <c r="K14" s="5622"/>
      <c r="L14" s="5622"/>
      <c r="M14" s="5622"/>
      <c r="N14" s="5622"/>
      <c r="O14" s="5531" t="s">
        <v>1194</v>
      </c>
      <c r="P14" s="5575"/>
      <c r="Q14" s="5531" t="s">
        <v>1195</v>
      </c>
      <c r="R14" s="5575"/>
      <c r="S14" s="5532"/>
      <c r="T14" s="5435"/>
      <c r="U14" s="5531" t="s">
        <v>927</v>
      </c>
      <c r="V14" s="5575"/>
      <c r="W14" s="5531" t="s">
        <v>930</v>
      </c>
      <c r="X14" s="5575"/>
      <c r="Y14" s="5531" t="s">
        <v>927</v>
      </c>
      <c r="Z14" s="5575"/>
      <c r="AA14" s="5531" t="s">
        <v>937</v>
      </c>
      <c r="AB14" s="5575"/>
      <c r="AC14" s="5605"/>
      <c r="AD14" s="5605"/>
      <c r="AE14" s="5605"/>
      <c r="AF14" s="5605"/>
      <c r="AG14" s="5605"/>
      <c r="AH14" s="5605"/>
      <c r="AI14" s="5605"/>
      <c r="AJ14" s="5605"/>
      <c r="AK14" s="5605"/>
      <c r="AL14" s="5605"/>
      <c r="AM14" s="5605"/>
      <c r="AN14" s="5605"/>
      <c r="AO14" s="5605"/>
      <c r="AP14" s="5605"/>
      <c r="AQ14" s="5605"/>
      <c r="AR14" s="5605"/>
      <c r="AS14" s="5605"/>
      <c r="AT14" s="5605"/>
      <c r="AU14" s="5605"/>
      <c r="AV14" s="5605"/>
      <c r="AW14" s="5605"/>
      <c r="AX14" s="5605"/>
      <c r="AY14" s="5605"/>
      <c r="AZ14" s="5605"/>
      <c r="BA14" s="5605"/>
      <c r="BB14" s="5605"/>
      <c r="BC14" s="5605"/>
      <c r="BD14" s="5605"/>
      <c r="BE14" s="5605"/>
      <c r="BF14" s="5605"/>
      <c r="BG14" s="5605"/>
      <c r="BH14" s="5605"/>
      <c r="BI14" s="5605"/>
      <c r="BJ14" s="5605"/>
      <c r="BK14" s="5605"/>
      <c r="BL14" s="5605"/>
      <c r="BM14" s="5605"/>
      <c r="BN14" s="5605"/>
      <c r="BO14" s="5605"/>
      <c r="BP14" s="5605"/>
      <c r="BQ14" s="5605"/>
      <c r="BR14" s="5605"/>
      <c r="BS14" s="5606"/>
      <c r="BT14" s="5532"/>
      <c r="BU14" s="5435"/>
      <c r="BV14" s="5532"/>
      <c r="BW14" s="5435"/>
      <c r="BX14" s="5532"/>
      <c r="BY14" s="5435"/>
      <c r="BZ14" s="5532"/>
      <c r="CA14" s="5435"/>
      <c r="CB14" s="5532"/>
      <c r="CC14" s="5435"/>
      <c r="CD14" s="5532"/>
      <c r="CE14" s="5435"/>
      <c r="CF14" s="5532"/>
      <c r="CG14" s="5435"/>
      <c r="CH14" s="5531" t="s">
        <v>1196</v>
      </c>
      <c r="CI14" s="5575"/>
      <c r="CJ14" s="5531" t="s">
        <v>1197</v>
      </c>
      <c r="CK14" s="5575"/>
      <c r="CL14" s="5612"/>
      <c r="CM14" s="5605"/>
      <c r="CN14" s="5605"/>
      <c r="CO14" s="5605"/>
      <c r="CP14" s="5605"/>
      <c r="CQ14" s="5605"/>
      <c r="CR14" s="5605"/>
      <c r="CS14" s="5605"/>
      <c r="CT14" s="5605"/>
      <c r="CU14" s="5605"/>
      <c r="CV14" s="5605"/>
      <c r="CW14" s="5605"/>
      <c r="CX14" s="5606"/>
      <c r="CY14" s="5532"/>
      <c r="CZ14" s="5435"/>
      <c r="DA14" s="5532"/>
      <c r="DB14" s="5435"/>
      <c r="DC14" s="5532"/>
      <c r="DD14" s="5435"/>
      <c r="DE14" s="5532"/>
      <c r="DF14" s="5435"/>
      <c r="DG14" s="5531" t="s">
        <v>1198</v>
      </c>
      <c r="DH14" s="5575"/>
      <c r="DI14" s="5531" t="s">
        <v>1199</v>
      </c>
      <c r="DJ14" s="5575"/>
      <c r="DK14" s="5612"/>
      <c r="DL14" s="5605"/>
      <c r="DM14" s="5605"/>
      <c r="DN14" s="5605"/>
      <c r="DO14" s="5605"/>
      <c r="DP14" s="5605"/>
      <c r="DQ14" s="5605"/>
      <c r="DR14" s="5605"/>
      <c r="DS14" s="5605"/>
      <c r="DT14" s="5605"/>
      <c r="DU14" s="5605"/>
      <c r="DV14" s="5605"/>
      <c r="DW14" s="5605"/>
      <c r="DX14" s="5605"/>
      <c r="DY14" s="5605"/>
      <c r="DZ14" s="5605"/>
      <c r="EA14" s="5605"/>
      <c r="EB14" s="5605"/>
      <c r="EC14" s="5605"/>
      <c r="ED14" s="5605"/>
      <c r="EE14" s="5605"/>
      <c r="EF14" s="5605"/>
      <c r="EG14" s="5605"/>
      <c r="EH14" s="5605"/>
      <c r="EI14" s="5605"/>
      <c r="EJ14" s="5605"/>
      <c r="EK14" s="5605"/>
      <c r="EL14" s="5605"/>
      <c r="EM14" s="5605"/>
      <c r="EN14" s="5605"/>
      <c r="EO14" s="5605"/>
      <c r="EP14" s="5605"/>
      <c r="EQ14" s="5605"/>
      <c r="ER14" s="5605"/>
      <c r="ES14" s="5605"/>
      <c r="ET14" s="5605"/>
      <c r="EU14" s="5605"/>
      <c r="EV14" s="5605"/>
      <c r="EW14" s="5605"/>
      <c r="EX14" s="5605"/>
      <c r="EY14" s="5605"/>
      <c r="EZ14" s="5605"/>
      <c r="FA14" s="5605"/>
      <c r="FB14" s="5605"/>
      <c r="FC14" s="5605"/>
      <c r="FD14" s="5605"/>
      <c r="FE14" s="5605"/>
      <c r="FF14" s="5605"/>
      <c r="FG14" s="5605"/>
      <c r="FH14" s="5605"/>
      <c r="FI14" s="5605"/>
      <c r="FJ14" s="5605"/>
      <c r="FK14" s="5605"/>
      <c r="FL14" s="5605"/>
      <c r="FM14" s="5605"/>
      <c r="FN14" s="5605"/>
      <c r="FO14" s="5605"/>
      <c r="FP14" s="5605"/>
      <c r="FQ14" s="5605"/>
      <c r="FR14" s="5605"/>
      <c r="FS14" s="5605"/>
      <c r="FT14" s="5605"/>
      <c r="FU14" s="5605"/>
      <c r="FV14" s="5605"/>
      <c r="FW14" s="5610"/>
      <c r="FX14" s="698"/>
      <c r="GC14" s="853">
        <v>36</v>
      </c>
    </row>
    <row r="15" spans="2:185" ht="37.9" customHeight="1">
      <c r="D15" s="865"/>
      <c r="E15" s="864"/>
      <c r="F15" s="5427"/>
      <c r="G15" s="5427"/>
      <c r="H15" s="5427"/>
      <c r="I15" s="5427"/>
      <c r="J15" s="5622"/>
      <c r="K15" s="5622"/>
      <c r="L15" s="5622"/>
      <c r="M15" s="5622"/>
      <c r="N15" s="5622"/>
      <c r="O15" s="5533"/>
      <c r="P15" s="5591"/>
      <c r="Q15" s="5533"/>
      <c r="R15" s="5591"/>
      <c r="S15" s="5533"/>
      <c r="T15" s="5591"/>
      <c r="U15" s="5533"/>
      <c r="V15" s="5591"/>
      <c r="W15" s="5533"/>
      <c r="X15" s="5591"/>
      <c r="Y15" s="5533"/>
      <c r="Z15" s="5591"/>
      <c r="AA15" s="5533"/>
      <c r="AB15" s="5591"/>
      <c r="AC15" s="5605"/>
      <c r="AD15" s="5605"/>
      <c r="AE15" s="5605"/>
      <c r="AF15" s="5605"/>
      <c r="AG15" s="5605"/>
      <c r="AH15" s="5605"/>
      <c r="AI15" s="5605"/>
      <c r="AJ15" s="5605"/>
      <c r="AK15" s="5605"/>
      <c r="AL15" s="5605"/>
      <c r="AM15" s="5605"/>
      <c r="AN15" s="5605"/>
      <c r="AO15" s="5605"/>
      <c r="AP15" s="5605"/>
      <c r="AQ15" s="5605"/>
      <c r="AR15" s="5605"/>
      <c r="AS15" s="5605"/>
      <c r="AT15" s="5605"/>
      <c r="AU15" s="5605"/>
      <c r="AV15" s="5605"/>
      <c r="AW15" s="5605"/>
      <c r="AX15" s="5605"/>
      <c r="AY15" s="5605"/>
      <c r="AZ15" s="5605"/>
      <c r="BA15" s="5605"/>
      <c r="BB15" s="5605"/>
      <c r="BC15" s="5605"/>
      <c r="BD15" s="5605"/>
      <c r="BE15" s="5605"/>
      <c r="BF15" s="5605"/>
      <c r="BG15" s="5605"/>
      <c r="BH15" s="5605"/>
      <c r="BI15" s="5605"/>
      <c r="BJ15" s="5605"/>
      <c r="BK15" s="5605"/>
      <c r="BL15" s="5605"/>
      <c r="BM15" s="5605"/>
      <c r="BN15" s="5605"/>
      <c r="BO15" s="5605"/>
      <c r="BP15" s="5605"/>
      <c r="BQ15" s="5605"/>
      <c r="BR15" s="5605"/>
      <c r="BS15" s="5606"/>
      <c r="BT15" s="5533"/>
      <c r="BU15" s="5591"/>
      <c r="BV15" s="5533"/>
      <c r="BW15" s="5591"/>
      <c r="BX15" s="5533"/>
      <c r="BY15" s="5591"/>
      <c r="BZ15" s="5533"/>
      <c r="CA15" s="5591"/>
      <c r="CB15" s="5533"/>
      <c r="CC15" s="5591"/>
      <c r="CD15" s="5533"/>
      <c r="CE15" s="5591"/>
      <c r="CF15" s="5533"/>
      <c r="CG15" s="5591"/>
      <c r="CH15" s="5533"/>
      <c r="CI15" s="5591"/>
      <c r="CJ15" s="5533"/>
      <c r="CK15" s="5591"/>
      <c r="CL15" s="5612"/>
      <c r="CM15" s="5605"/>
      <c r="CN15" s="5605"/>
      <c r="CO15" s="5605"/>
      <c r="CP15" s="5605"/>
      <c r="CQ15" s="5605"/>
      <c r="CR15" s="5605"/>
      <c r="CS15" s="5605"/>
      <c r="CT15" s="5605"/>
      <c r="CU15" s="5605"/>
      <c r="CV15" s="5605"/>
      <c r="CW15" s="5605"/>
      <c r="CX15" s="5606"/>
      <c r="CY15" s="5533"/>
      <c r="CZ15" s="5591"/>
      <c r="DA15" s="5533"/>
      <c r="DB15" s="5591"/>
      <c r="DC15" s="5533"/>
      <c r="DD15" s="5591"/>
      <c r="DE15" s="5533"/>
      <c r="DF15" s="5591"/>
      <c r="DG15" s="5533"/>
      <c r="DH15" s="5591"/>
      <c r="DI15" s="5533"/>
      <c r="DJ15" s="5591"/>
      <c r="DK15" s="5612"/>
      <c r="DL15" s="5605"/>
      <c r="DM15" s="5605"/>
      <c r="DN15" s="5605"/>
      <c r="DO15" s="5605"/>
      <c r="DP15" s="5605"/>
      <c r="DQ15" s="5605"/>
      <c r="DR15" s="5605"/>
      <c r="DS15" s="5605"/>
      <c r="DT15" s="5605"/>
      <c r="DU15" s="5605"/>
      <c r="DV15" s="5605"/>
      <c r="DW15" s="5605"/>
      <c r="DX15" s="5605"/>
      <c r="DY15" s="5605"/>
      <c r="DZ15" s="5605"/>
      <c r="EA15" s="5605"/>
      <c r="EB15" s="5605"/>
      <c r="EC15" s="5605"/>
      <c r="ED15" s="5605"/>
      <c r="EE15" s="5605"/>
      <c r="EF15" s="5605"/>
      <c r="EG15" s="5605"/>
      <c r="EH15" s="5605"/>
      <c r="EI15" s="5605"/>
      <c r="EJ15" s="5605"/>
      <c r="EK15" s="5605"/>
      <c r="EL15" s="5605"/>
      <c r="EM15" s="5605"/>
      <c r="EN15" s="5605"/>
      <c r="EO15" s="5605"/>
      <c r="EP15" s="5605"/>
      <c r="EQ15" s="5605"/>
      <c r="ER15" s="5605"/>
      <c r="ES15" s="5605"/>
      <c r="ET15" s="5605"/>
      <c r="EU15" s="5605"/>
      <c r="EV15" s="5605"/>
      <c r="EW15" s="5605"/>
      <c r="EX15" s="5605"/>
      <c r="EY15" s="5605"/>
      <c r="EZ15" s="5605"/>
      <c r="FA15" s="5605"/>
      <c r="FB15" s="5605"/>
      <c r="FC15" s="5605"/>
      <c r="FD15" s="5605"/>
      <c r="FE15" s="5605"/>
      <c r="FF15" s="5605"/>
      <c r="FG15" s="5605"/>
      <c r="FH15" s="5605"/>
      <c r="FI15" s="5605"/>
      <c r="FJ15" s="5605"/>
      <c r="FK15" s="5605"/>
      <c r="FL15" s="5605"/>
      <c r="FM15" s="5605"/>
      <c r="FN15" s="5605"/>
      <c r="FO15" s="5605"/>
      <c r="FP15" s="5605"/>
      <c r="FQ15" s="5605"/>
      <c r="FR15" s="5605"/>
      <c r="FS15" s="5605"/>
      <c r="FT15" s="5605"/>
      <c r="FU15" s="5605"/>
      <c r="FV15" s="5605"/>
      <c r="FW15" s="5610"/>
      <c r="FX15" s="698"/>
      <c r="GC15" s="853">
        <v>36</v>
      </c>
    </row>
    <row r="16" spans="2:185" ht="12.75" customHeight="1">
      <c r="D16" s="865"/>
      <c r="E16" s="864"/>
      <c r="F16" s="5427"/>
      <c r="G16" s="5427"/>
      <c r="H16" s="5427"/>
      <c r="I16" s="5427"/>
      <c r="J16" s="5622"/>
      <c r="K16" s="5622"/>
      <c r="L16" s="5622"/>
      <c r="M16" s="5622"/>
      <c r="N16" s="5622"/>
      <c r="O16" s="5573" t="s">
        <v>917</v>
      </c>
      <c r="P16" s="5604"/>
      <c r="Q16" s="5573" t="s">
        <v>919</v>
      </c>
      <c r="R16" s="5604"/>
      <c r="S16" s="5573" t="s">
        <v>923</v>
      </c>
      <c r="T16" s="5604"/>
      <c r="U16" s="5573" t="s">
        <v>928</v>
      </c>
      <c r="V16" s="5604"/>
      <c r="W16" s="5573" t="s">
        <v>931</v>
      </c>
      <c r="X16" s="5604"/>
      <c r="Y16" s="5573" t="s">
        <v>935</v>
      </c>
      <c r="Z16" s="5604"/>
      <c r="AA16" s="5573" t="s">
        <v>938</v>
      </c>
      <c r="AB16" s="5604"/>
      <c r="AC16" s="5605"/>
      <c r="AD16" s="5605"/>
      <c r="AE16" s="5605"/>
      <c r="AF16" s="5605"/>
      <c r="AG16" s="5605"/>
      <c r="AH16" s="5605"/>
      <c r="AI16" s="5605"/>
      <c r="AJ16" s="5605"/>
      <c r="AK16" s="5605"/>
      <c r="AL16" s="5605"/>
      <c r="AM16" s="5605"/>
      <c r="AN16" s="5605"/>
      <c r="AO16" s="5605"/>
      <c r="AP16" s="5605"/>
      <c r="AQ16" s="5605"/>
      <c r="AR16" s="5605"/>
      <c r="AS16" s="5605"/>
      <c r="AT16" s="5605"/>
      <c r="AU16" s="5605"/>
      <c r="AV16" s="5605"/>
      <c r="AW16" s="5605"/>
      <c r="AX16" s="5605"/>
      <c r="AY16" s="5605"/>
      <c r="AZ16" s="5605"/>
      <c r="BA16" s="5605"/>
      <c r="BB16" s="5605"/>
      <c r="BC16" s="5605"/>
      <c r="BD16" s="5605"/>
      <c r="BE16" s="5605"/>
      <c r="BF16" s="5605"/>
      <c r="BG16" s="5605"/>
      <c r="BH16" s="5605"/>
      <c r="BI16" s="5605"/>
      <c r="BJ16" s="5605"/>
      <c r="BK16" s="5605"/>
      <c r="BL16" s="5605"/>
      <c r="BM16" s="5605"/>
      <c r="BN16" s="5605"/>
      <c r="BO16" s="5605"/>
      <c r="BP16" s="5605"/>
      <c r="BQ16" s="5605"/>
      <c r="BR16" s="5605"/>
      <c r="BS16" s="5606"/>
      <c r="BT16" s="5573" t="s">
        <v>650</v>
      </c>
      <c r="BU16" s="5604"/>
      <c r="BV16" s="5573" t="s">
        <v>650</v>
      </c>
      <c r="BW16" s="5604"/>
      <c r="BX16" s="5573" t="s">
        <v>650</v>
      </c>
      <c r="BY16" s="5604"/>
      <c r="BZ16" s="5573" t="s">
        <v>650</v>
      </c>
      <c r="CA16" s="5604"/>
      <c r="CB16" s="5573" t="s">
        <v>1200</v>
      </c>
      <c r="CC16" s="5604"/>
      <c r="CD16" s="5573" t="s">
        <v>650</v>
      </c>
      <c r="CE16" s="5604"/>
      <c r="CF16" s="5573" t="s">
        <v>1201</v>
      </c>
      <c r="CG16" s="5604"/>
      <c r="CH16" s="5573" t="s">
        <v>1202</v>
      </c>
      <c r="CI16" s="5604"/>
      <c r="CJ16" s="5573" t="s">
        <v>1202</v>
      </c>
      <c r="CK16" s="5604"/>
      <c r="CL16" s="5612"/>
      <c r="CM16" s="5605"/>
      <c r="CN16" s="5605"/>
      <c r="CO16" s="5605"/>
      <c r="CP16" s="5605"/>
      <c r="CQ16" s="5605"/>
      <c r="CR16" s="5605"/>
      <c r="CS16" s="5605"/>
      <c r="CT16" s="5605"/>
      <c r="CU16" s="5605"/>
      <c r="CV16" s="5605"/>
      <c r="CW16" s="5605"/>
      <c r="CX16" s="5606"/>
      <c r="CY16" s="5531" t="s">
        <v>650</v>
      </c>
      <c r="CZ16" s="5575"/>
      <c r="DA16" s="5531" t="s">
        <v>650</v>
      </c>
      <c r="DB16" s="5575"/>
      <c r="DC16" s="5531" t="s">
        <v>650</v>
      </c>
      <c r="DD16" s="5575"/>
      <c r="DE16" s="5573" t="s">
        <v>1200</v>
      </c>
      <c r="DF16" s="5604"/>
      <c r="DG16" s="5573" t="s">
        <v>1203</v>
      </c>
      <c r="DH16" s="5604"/>
      <c r="DI16" s="5573" t="s">
        <v>1203</v>
      </c>
      <c r="DJ16" s="5604"/>
      <c r="DK16" s="5612"/>
      <c r="DL16" s="5605"/>
      <c r="DM16" s="5605"/>
      <c r="DN16" s="5605"/>
      <c r="DO16" s="5605"/>
      <c r="DP16" s="5605"/>
      <c r="DQ16" s="5605"/>
      <c r="DR16" s="5605"/>
      <c r="DS16" s="5605"/>
      <c r="DT16" s="5605"/>
      <c r="DU16" s="5605"/>
      <c r="DV16" s="5605"/>
      <c r="DW16" s="5605"/>
      <c r="DX16" s="5605"/>
      <c r="DY16" s="5605"/>
      <c r="DZ16" s="5605"/>
      <c r="EA16" s="5605"/>
      <c r="EB16" s="5605"/>
      <c r="EC16" s="5605"/>
      <c r="ED16" s="5605"/>
      <c r="EE16" s="5605"/>
      <c r="EF16" s="5605"/>
      <c r="EG16" s="5605"/>
      <c r="EH16" s="5605"/>
      <c r="EI16" s="5605"/>
      <c r="EJ16" s="5605"/>
      <c r="EK16" s="5605"/>
      <c r="EL16" s="5605"/>
      <c r="EM16" s="5605"/>
      <c r="EN16" s="5605"/>
      <c r="EO16" s="5605"/>
      <c r="EP16" s="5605"/>
      <c r="EQ16" s="5605"/>
      <c r="ER16" s="5605"/>
      <c r="ES16" s="5605"/>
      <c r="ET16" s="5605"/>
      <c r="EU16" s="5605"/>
      <c r="EV16" s="5605"/>
      <c r="EW16" s="5605"/>
      <c r="EX16" s="5605"/>
      <c r="EY16" s="5605"/>
      <c r="EZ16" s="5605"/>
      <c r="FA16" s="5605"/>
      <c r="FB16" s="5605"/>
      <c r="FC16" s="5605"/>
      <c r="FD16" s="5605"/>
      <c r="FE16" s="5605"/>
      <c r="FF16" s="5605"/>
      <c r="FG16" s="5605"/>
      <c r="FH16" s="5605"/>
      <c r="FI16" s="5605"/>
      <c r="FJ16" s="5605"/>
      <c r="FK16" s="5605"/>
      <c r="FL16" s="5605"/>
      <c r="FM16" s="5605"/>
      <c r="FN16" s="5605"/>
      <c r="FO16" s="5605"/>
      <c r="FP16" s="5605"/>
      <c r="FQ16" s="5605"/>
      <c r="FR16" s="5605"/>
      <c r="FS16" s="5605"/>
      <c r="FT16" s="5605"/>
      <c r="FU16" s="5605"/>
      <c r="FV16" s="5605"/>
      <c r="FW16" s="5610"/>
      <c r="FX16" s="698"/>
      <c r="GC16" s="853">
        <v>12</v>
      </c>
    </row>
    <row r="17" spans="1:185" ht="15.75" customHeight="1">
      <c r="E17" s="864"/>
      <c r="F17" s="5427"/>
      <c r="G17" s="5427"/>
      <c r="H17" s="5427"/>
      <c r="I17" s="5427"/>
      <c r="J17" s="5622"/>
      <c r="K17" s="5622"/>
      <c r="L17" s="5622"/>
      <c r="M17" s="5622"/>
      <c r="N17" s="5622"/>
      <c r="O17" s="1112" t="s">
        <v>1204</v>
      </c>
      <c r="P17" s="1112" t="s">
        <v>1205</v>
      </c>
      <c r="Q17" s="1112" t="s">
        <v>1204</v>
      </c>
      <c r="R17" s="1112" t="s">
        <v>1205</v>
      </c>
      <c r="S17" s="1112" t="s">
        <v>1204</v>
      </c>
      <c r="T17" s="1112" t="s">
        <v>1205</v>
      </c>
      <c r="U17" s="1112" t="s">
        <v>1204</v>
      </c>
      <c r="V17" s="1112" t="s">
        <v>1205</v>
      </c>
      <c r="W17" s="1112" t="s">
        <v>1204</v>
      </c>
      <c r="X17" s="1112" t="s">
        <v>1205</v>
      </c>
      <c r="Y17" s="1112" t="s">
        <v>1204</v>
      </c>
      <c r="Z17" s="1112" t="s">
        <v>1205</v>
      </c>
      <c r="AA17" s="1112" t="s">
        <v>1204</v>
      </c>
      <c r="AB17" s="1112" t="s">
        <v>1205</v>
      </c>
      <c r="AC17" s="5605"/>
      <c r="AD17" s="5605"/>
      <c r="AE17" s="5605"/>
      <c r="AF17" s="5605"/>
      <c r="AG17" s="5605"/>
      <c r="AH17" s="5605"/>
      <c r="AI17" s="5605"/>
      <c r="AJ17" s="5605"/>
      <c r="AK17" s="5605"/>
      <c r="AL17" s="5605"/>
      <c r="AM17" s="5605"/>
      <c r="AN17" s="5605"/>
      <c r="AO17" s="5605"/>
      <c r="AP17" s="5605"/>
      <c r="AQ17" s="5605"/>
      <c r="AR17" s="5605"/>
      <c r="AS17" s="5605"/>
      <c r="AT17" s="5605"/>
      <c r="AU17" s="5605"/>
      <c r="AV17" s="5605"/>
      <c r="AW17" s="5605"/>
      <c r="AX17" s="5605"/>
      <c r="AY17" s="5605"/>
      <c r="AZ17" s="5605"/>
      <c r="BA17" s="5605"/>
      <c r="BB17" s="5605"/>
      <c r="BC17" s="5605"/>
      <c r="BD17" s="5605"/>
      <c r="BE17" s="5605"/>
      <c r="BF17" s="5605"/>
      <c r="BG17" s="5605"/>
      <c r="BH17" s="5605"/>
      <c r="BI17" s="5605"/>
      <c r="BJ17" s="5605"/>
      <c r="BK17" s="5605"/>
      <c r="BL17" s="5605"/>
      <c r="BM17" s="5605"/>
      <c r="BN17" s="5605"/>
      <c r="BO17" s="5605"/>
      <c r="BP17" s="5605"/>
      <c r="BQ17" s="5605"/>
      <c r="BR17" s="5605"/>
      <c r="BS17" s="5606"/>
      <c r="BT17" s="1112" t="s">
        <v>1204</v>
      </c>
      <c r="BU17" s="1112" t="s">
        <v>1205</v>
      </c>
      <c r="BV17" s="1112" t="s">
        <v>1204</v>
      </c>
      <c r="BW17" s="1112" t="s">
        <v>1205</v>
      </c>
      <c r="BX17" s="1112" t="s">
        <v>1204</v>
      </c>
      <c r="BY17" s="1112" t="s">
        <v>1205</v>
      </c>
      <c r="BZ17" s="1112" t="s">
        <v>1204</v>
      </c>
      <c r="CA17" s="1112" t="s">
        <v>1205</v>
      </c>
      <c r="CB17" s="1112" t="s">
        <v>1204</v>
      </c>
      <c r="CC17" s="1112" t="s">
        <v>1205</v>
      </c>
      <c r="CD17" s="1112" t="s">
        <v>1204</v>
      </c>
      <c r="CE17" s="1112" t="s">
        <v>1205</v>
      </c>
      <c r="CF17" s="1112" t="s">
        <v>1204</v>
      </c>
      <c r="CG17" s="1112" t="s">
        <v>1205</v>
      </c>
      <c r="CH17" s="1112" t="s">
        <v>1204</v>
      </c>
      <c r="CI17" s="1112" t="s">
        <v>1205</v>
      </c>
      <c r="CJ17" s="1112" t="s">
        <v>1204</v>
      </c>
      <c r="CK17" s="1112" t="s">
        <v>1205</v>
      </c>
      <c r="CL17" s="5612"/>
      <c r="CM17" s="5605"/>
      <c r="CN17" s="5605"/>
      <c r="CO17" s="5605"/>
      <c r="CP17" s="5605"/>
      <c r="CQ17" s="5605"/>
      <c r="CR17" s="5605"/>
      <c r="CS17" s="5605"/>
      <c r="CT17" s="5605"/>
      <c r="CU17" s="5605"/>
      <c r="CV17" s="5605"/>
      <c r="CW17" s="5605"/>
      <c r="CX17" s="5606"/>
      <c r="CY17" s="1112" t="s">
        <v>1204</v>
      </c>
      <c r="CZ17" s="1112" t="s">
        <v>1205</v>
      </c>
      <c r="DA17" s="1112" t="s">
        <v>1204</v>
      </c>
      <c r="DB17" s="1112" t="s">
        <v>1205</v>
      </c>
      <c r="DC17" s="1112" t="s">
        <v>1204</v>
      </c>
      <c r="DD17" s="1112" t="s">
        <v>1205</v>
      </c>
      <c r="DE17" s="1112" t="s">
        <v>1204</v>
      </c>
      <c r="DF17" s="1112" t="s">
        <v>1205</v>
      </c>
      <c r="DG17" s="1112" t="s">
        <v>1204</v>
      </c>
      <c r="DH17" s="1112" t="s">
        <v>1205</v>
      </c>
      <c r="DI17" s="1112" t="s">
        <v>1204</v>
      </c>
      <c r="DJ17" s="1112" t="s">
        <v>1205</v>
      </c>
      <c r="DK17" s="5612"/>
      <c r="DL17" s="5605"/>
      <c r="DM17" s="5605"/>
      <c r="DN17" s="5605"/>
      <c r="DO17" s="5605"/>
      <c r="DP17" s="5605"/>
      <c r="DQ17" s="5605"/>
      <c r="DR17" s="5605"/>
      <c r="DS17" s="5605"/>
      <c r="DT17" s="5605"/>
      <c r="DU17" s="5605"/>
      <c r="DV17" s="5605"/>
      <c r="DW17" s="5605"/>
      <c r="DX17" s="5605"/>
      <c r="DY17" s="5605"/>
      <c r="DZ17" s="5605"/>
      <c r="EA17" s="5605"/>
      <c r="EB17" s="5605"/>
      <c r="EC17" s="5605"/>
      <c r="ED17" s="5605"/>
      <c r="EE17" s="5605"/>
      <c r="EF17" s="5605"/>
      <c r="EG17" s="5605"/>
      <c r="EH17" s="5605"/>
      <c r="EI17" s="5605"/>
      <c r="EJ17" s="5605"/>
      <c r="EK17" s="5605"/>
      <c r="EL17" s="5605"/>
      <c r="EM17" s="5605"/>
      <c r="EN17" s="5605"/>
      <c r="EO17" s="5605"/>
      <c r="EP17" s="5605"/>
      <c r="EQ17" s="5605"/>
      <c r="ER17" s="5605"/>
      <c r="ES17" s="5605"/>
      <c r="ET17" s="5605"/>
      <c r="EU17" s="5605"/>
      <c r="EV17" s="5605"/>
      <c r="EW17" s="5605"/>
      <c r="EX17" s="5605"/>
      <c r="EY17" s="5605"/>
      <c r="EZ17" s="5605"/>
      <c r="FA17" s="5605"/>
      <c r="FB17" s="5605"/>
      <c r="FC17" s="5605"/>
      <c r="FD17" s="5605"/>
      <c r="FE17" s="5605"/>
      <c r="FF17" s="5605"/>
      <c r="FG17" s="5605"/>
      <c r="FH17" s="5605"/>
      <c r="FI17" s="5605"/>
      <c r="FJ17" s="5605"/>
      <c r="FK17" s="5605"/>
      <c r="FL17" s="5605"/>
      <c r="FM17" s="5605"/>
      <c r="FN17" s="5605"/>
      <c r="FO17" s="5605"/>
      <c r="FP17" s="5605"/>
      <c r="FQ17" s="5605"/>
      <c r="FR17" s="5605"/>
      <c r="FS17" s="5605"/>
      <c r="FT17" s="5605"/>
      <c r="FU17" s="5605"/>
      <c r="FV17" s="5605"/>
      <c r="FW17" s="5611"/>
      <c r="FX17" s="698"/>
      <c r="GC17" s="853">
        <v>15</v>
      </c>
    </row>
    <row r="18" spans="1:185" s="5262" customFormat="1" ht="12" hidden="1" customHeight="1">
      <c r="B18" s="850"/>
      <c r="E18" s="866"/>
      <c r="F18" s="1113"/>
      <c r="G18" s="1113"/>
      <c r="H18" s="1113"/>
      <c r="I18" s="1113"/>
      <c r="J18" s="1114"/>
      <c r="K18" s="1114"/>
      <c r="L18" s="1114"/>
      <c r="M18" s="1114"/>
      <c r="N18" s="1114"/>
      <c r="O18" s="1113"/>
      <c r="P18" s="1113"/>
      <c r="Q18" s="1113"/>
      <c r="R18" s="1113"/>
      <c r="S18" s="1113"/>
      <c r="T18" s="1113"/>
      <c r="U18" s="1115"/>
      <c r="V18" s="1115"/>
      <c r="W18" s="1115"/>
      <c r="X18" s="1115"/>
      <c r="Y18" s="1115"/>
      <c r="Z18" s="1115"/>
      <c r="AA18" s="1115"/>
      <c r="AB18" s="1113"/>
      <c r="AC18" s="1114"/>
      <c r="AD18" s="1114"/>
      <c r="AE18" s="1114"/>
      <c r="AF18" s="1114"/>
      <c r="AG18" s="1114"/>
      <c r="AH18" s="1114"/>
      <c r="AI18" s="1114"/>
      <c r="AJ18" s="1114"/>
      <c r="AK18" s="1114"/>
      <c r="AL18" s="1114"/>
      <c r="AM18" s="1114"/>
      <c r="AN18" s="1114"/>
      <c r="AO18" s="1114"/>
      <c r="AP18" s="1114"/>
      <c r="AQ18" s="1114"/>
      <c r="AR18" s="1114"/>
      <c r="AS18" s="1114"/>
      <c r="AT18" s="1114"/>
      <c r="AU18" s="1114"/>
      <c r="AV18" s="1114"/>
      <c r="AW18" s="1114"/>
      <c r="AX18" s="1114"/>
      <c r="AY18" s="1114"/>
      <c r="AZ18" s="1114"/>
      <c r="BA18" s="1114"/>
      <c r="BB18" s="1114"/>
      <c r="BC18" s="1114"/>
      <c r="BD18" s="1114"/>
      <c r="BE18" s="1114"/>
      <c r="BF18" s="1114"/>
      <c r="BG18" s="1114"/>
      <c r="BH18" s="1114"/>
      <c r="BI18" s="1114"/>
      <c r="BJ18" s="1114"/>
      <c r="BK18" s="1114"/>
      <c r="BL18" s="1114"/>
      <c r="BM18" s="1114"/>
      <c r="BN18" s="1114"/>
      <c r="BO18" s="1114"/>
      <c r="BP18" s="1114"/>
      <c r="BQ18" s="1114"/>
      <c r="BR18" s="1114"/>
      <c r="BS18" s="1114"/>
      <c r="BT18" s="1116"/>
      <c r="BU18" s="1116"/>
      <c r="BV18" s="1116"/>
      <c r="BW18" s="1116"/>
      <c r="BX18" s="1116"/>
      <c r="BY18" s="1116"/>
      <c r="BZ18" s="1116"/>
      <c r="CA18" s="1116"/>
      <c r="CB18" s="1116"/>
      <c r="CC18" s="1116"/>
      <c r="CD18" s="1116"/>
      <c r="CE18" s="1116"/>
      <c r="CF18" s="1116"/>
      <c r="CG18" s="1116"/>
      <c r="CH18" s="1116"/>
      <c r="CI18" s="1116"/>
      <c r="CJ18" s="1116"/>
      <c r="CK18" s="1116"/>
      <c r="CL18" s="1114"/>
      <c r="CM18" s="1114"/>
      <c r="CN18" s="1114"/>
      <c r="CO18" s="1114"/>
      <c r="CP18" s="1114"/>
      <c r="CQ18" s="1114"/>
      <c r="CR18" s="1114"/>
      <c r="CS18" s="1114"/>
      <c r="CT18" s="1114"/>
      <c r="CU18" s="1114"/>
      <c r="CV18" s="1114"/>
      <c r="CW18" s="1114"/>
      <c r="CX18" s="1114"/>
      <c r="CY18" s="1116"/>
      <c r="CZ18" s="1116"/>
      <c r="DA18" s="1116"/>
      <c r="DB18" s="1116"/>
      <c r="DC18" s="1116"/>
      <c r="DD18" s="1116"/>
      <c r="DE18" s="1116"/>
      <c r="DF18" s="1116"/>
      <c r="DG18" s="1116"/>
      <c r="DH18" s="1116"/>
      <c r="DI18" s="1116"/>
      <c r="DJ18" s="1116"/>
      <c r="DK18" s="1114"/>
      <c r="DL18" s="1114"/>
      <c r="DM18" s="1114"/>
      <c r="DN18" s="1114"/>
      <c r="DO18" s="1114"/>
      <c r="DP18" s="1114"/>
      <c r="DQ18" s="1114"/>
      <c r="DR18" s="1114"/>
      <c r="DS18" s="1114"/>
      <c r="DT18" s="1114"/>
      <c r="DU18" s="1114"/>
      <c r="DV18" s="1114"/>
      <c r="DW18" s="1114"/>
      <c r="DX18" s="1114"/>
      <c r="DY18" s="1114"/>
      <c r="DZ18" s="1114"/>
      <c r="EA18" s="1114"/>
      <c r="EB18" s="1114"/>
      <c r="EC18" s="1114"/>
      <c r="ED18" s="1114"/>
      <c r="EE18" s="1114"/>
      <c r="EF18" s="1114"/>
      <c r="EG18" s="1114"/>
      <c r="EH18" s="1114"/>
      <c r="EI18" s="1114"/>
      <c r="EJ18" s="1114"/>
      <c r="EK18" s="1114"/>
      <c r="EL18" s="1114"/>
      <c r="EM18" s="1114"/>
      <c r="EN18" s="1114"/>
      <c r="EO18" s="1114"/>
      <c r="EP18" s="1114"/>
      <c r="EQ18" s="1114"/>
      <c r="ER18" s="1114"/>
      <c r="ES18" s="1114"/>
      <c r="ET18" s="1114"/>
      <c r="EU18" s="1114"/>
      <c r="EV18" s="1114"/>
      <c r="EW18" s="1114"/>
      <c r="EX18" s="1114"/>
      <c r="EY18" s="1114"/>
      <c r="EZ18" s="1114"/>
      <c r="FA18" s="1114"/>
      <c r="FB18" s="1114"/>
      <c r="FC18" s="1114"/>
      <c r="FD18" s="1114"/>
      <c r="FE18" s="1114"/>
      <c r="FF18" s="1114"/>
      <c r="FG18" s="1114"/>
      <c r="FH18" s="1114"/>
      <c r="FI18" s="1114"/>
      <c r="FJ18" s="1114"/>
      <c r="FK18" s="1114"/>
      <c r="FL18" s="1114"/>
      <c r="FM18" s="1114"/>
      <c r="FN18" s="1114"/>
      <c r="FO18" s="1114"/>
      <c r="FP18" s="1114"/>
      <c r="FQ18" s="1114"/>
      <c r="FR18" s="1114"/>
      <c r="FS18" s="1114"/>
      <c r="FT18" s="1114"/>
      <c r="FU18" s="1114"/>
      <c r="FV18" s="1114"/>
      <c r="FW18" s="1113"/>
      <c r="FX18" s="1117"/>
      <c r="GC18" s="851">
        <v>0</v>
      </c>
    </row>
    <row r="19" spans="1:185" s="5262" customFormat="1" ht="11.25" hidden="1" customHeight="1">
      <c r="B19" s="850"/>
      <c r="E19" s="866"/>
      <c r="F19" s="1113"/>
      <c r="G19" s="1113"/>
      <c r="H19" s="1113"/>
      <c r="I19" s="1113"/>
      <c r="J19" s="1113"/>
      <c r="K19" s="1113"/>
      <c r="L19" s="1113"/>
      <c r="M19" s="1113"/>
      <c r="N19" s="1113"/>
      <c r="O19" s="1113"/>
      <c r="P19" s="1113"/>
      <c r="Q19" s="1113"/>
      <c r="R19" s="1113"/>
      <c r="S19" s="1113"/>
      <c r="T19" s="1113"/>
      <c r="U19" s="1115"/>
      <c r="V19" s="1115"/>
      <c r="W19" s="1115"/>
      <c r="X19" s="1115"/>
      <c r="Y19" s="1115"/>
      <c r="Z19" s="1115"/>
      <c r="AA19" s="1115"/>
      <c r="AB19" s="1113"/>
      <c r="AC19" s="1113"/>
      <c r="AD19" s="1113"/>
      <c r="AE19" s="1113"/>
      <c r="AF19" s="1113"/>
      <c r="AG19" s="1113"/>
      <c r="AH19" s="1113"/>
      <c r="AI19" s="1113"/>
      <c r="AJ19" s="1113"/>
      <c r="AK19" s="1113"/>
      <c r="AL19" s="1113"/>
      <c r="AM19" s="1113"/>
      <c r="AN19" s="1113"/>
      <c r="AO19" s="1113"/>
      <c r="AP19" s="1113"/>
      <c r="AQ19" s="1113"/>
      <c r="AR19" s="1113"/>
      <c r="AS19" s="1113"/>
      <c r="AT19" s="1113"/>
      <c r="AU19" s="1113"/>
      <c r="AV19" s="1113"/>
      <c r="AW19" s="1113"/>
      <c r="AX19" s="1113"/>
      <c r="AY19" s="1113"/>
      <c r="AZ19" s="1113"/>
      <c r="BA19" s="1113"/>
      <c r="BB19" s="1113"/>
      <c r="BC19" s="1113"/>
      <c r="BD19" s="1113"/>
      <c r="BE19" s="1113"/>
      <c r="BF19" s="1113"/>
      <c r="BG19" s="1113"/>
      <c r="BH19" s="1113"/>
      <c r="BI19" s="1113"/>
      <c r="BJ19" s="1113"/>
      <c r="BK19" s="1113"/>
      <c r="BL19" s="1113"/>
      <c r="BM19" s="1113"/>
      <c r="BN19" s="1113"/>
      <c r="BO19" s="1113"/>
      <c r="BP19" s="1113"/>
      <c r="BQ19" s="1113"/>
      <c r="BR19" s="1113"/>
      <c r="BS19" s="1113"/>
      <c r="BT19" s="1113"/>
      <c r="BU19" s="1113"/>
      <c r="BV19" s="1113"/>
      <c r="BW19" s="1113"/>
      <c r="BX19" s="1113"/>
      <c r="BY19" s="1113"/>
      <c r="BZ19" s="1113"/>
      <c r="CA19" s="1113"/>
      <c r="CB19" s="1113"/>
      <c r="CC19" s="1113"/>
      <c r="CD19" s="1113"/>
      <c r="CE19" s="1113"/>
      <c r="CF19" s="1113"/>
      <c r="CG19" s="1113"/>
      <c r="CH19" s="1113"/>
      <c r="CI19" s="1113"/>
      <c r="CJ19" s="1113"/>
      <c r="CK19" s="1113"/>
      <c r="CL19" s="1113"/>
      <c r="CM19" s="1113"/>
      <c r="CN19" s="1113"/>
      <c r="CO19" s="1113"/>
      <c r="CP19" s="1113"/>
      <c r="CQ19" s="1113"/>
      <c r="CR19" s="1113"/>
      <c r="CS19" s="1113"/>
      <c r="CT19" s="1113"/>
      <c r="CU19" s="1113"/>
      <c r="CV19" s="1113"/>
      <c r="CW19" s="1113"/>
      <c r="CX19" s="1113"/>
      <c r="CY19" s="1113"/>
      <c r="CZ19" s="1113"/>
      <c r="DA19" s="1113"/>
      <c r="DB19" s="1113"/>
      <c r="DC19" s="1113"/>
      <c r="DD19" s="1113"/>
      <c r="DE19" s="1113"/>
      <c r="DF19" s="1113"/>
      <c r="DG19" s="1113"/>
      <c r="DH19" s="1113"/>
      <c r="DI19" s="1113"/>
      <c r="DJ19" s="1113"/>
      <c r="DK19" s="1113"/>
      <c r="DL19" s="1113"/>
      <c r="DM19" s="1113"/>
      <c r="DN19" s="1113"/>
      <c r="DO19" s="1113"/>
      <c r="DP19" s="1113"/>
      <c r="DQ19" s="1113"/>
      <c r="DR19" s="1113"/>
      <c r="DS19" s="1113"/>
      <c r="DT19" s="1113"/>
      <c r="DU19" s="1113"/>
      <c r="DV19" s="1113"/>
      <c r="DW19" s="1113"/>
      <c r="DX19" s="1113"/>
      <c r="DY19" s="1113"/>
      <c r="DZ19" s="1113"/>
      <c r="EA19" s="1113"/>
      <c r="EB19" s="1113"/>
      <c r="EC19" s="1113"/>
      <c r="ED19" s="1113"/>
      <c r="EE19" s="1113"/>
      <c r="EF19" s="1113"/>
      <c r="EG19" s="1113"/>
      <c r="EH19" s="1113"/>
      <c r="EI19" s="1113"/>
      <c r="EJ19" s="1113"/>
      <c r="EK19" s="1113"/>
      <c r="EL19" s="1113"/>
      <c r="EM19" s="1113"/>
      <c r="EN19" s="1113"/>
      <c r="EO19" s="1113"/>
      <c r="EP19" s="1113"/>
      <c r="EQ19" s="1113"/>
      <c r="ER19" s="1113"/>
      <c r="ES19" s="1113"/>
      <c r="ET19" s="1113"/>
      <c r="EU19" s="1113"/>
      <c r="EV19" s="1113"/>
      <c r="EW19" s="1113"/>
      <c r="EX19" s="1113"/>
      <c r="EY19" s="1113"/>
      <c r="EZ19" s="1113"/>
      <c r="FA19" s="1113"/>
      <c r="FB19" s="1113"/>
      <c r="FC19" s="1113"/>
      <c r="FD19" s="1113"/>
      <c r="FE19" s="1113"/>
      <c r="FF19" s="1113"/>
      <c r="FG19" s="1113"/>
      <c r="FH19" s="1113"/>
      <c r="FI19" s="1113"/>
      <c r="FJ19" s="1113"/>
      <c r="FK19" s="1113"/>
      <c r="FL19" s="1113"/>
      <c r="FM19" s="1113"/>
      <c r="FN19" s="1113"/>
      <c r="FO19" s="1113"/>
      <c r="FP19" s="1113"/>
      <c r="FQ19" s="1113"/>
      <c r="FR19" s="1113"/>
      <c r="FS19" s="1113"/>
      <c r="FT19" s="1113"/>
      <c r="FU19" s="1113"/>
      <c r="FV19" s="1113"/>
      <c r="FW19" s="1113"/>
      <c r="FX19" s="1117"/>
      <c r="GC19" s="851">
        <v>0</v>
      </c>
    </row>
    <row r="20" spans="1:185" s="5262" customFormat="1" ht="11.25" hidden="1" customHeight="1">
      <c r="B20" s="867"/>
      <c r="D20" s="851"/>
      <c r="E20" s="866"/>
      <c r="F20" s="1118" t="s">
        <v>469</v>
      </c>
      <c r="G20" s="1119"/>
      <c r="H20" s="1120"/>
      <c r="I20" s="1120"/>
      <c r="J20" s="1120"/>
      <c r="K20" s="1120"/>
      <c r="L20" s="1120"/>
      <c r="M20" s="1120"/>
      <c r="N20" s="1120"/>
      <c r="O20" s="1119"/>
      <c r="P20" s="1119"/>
      <c r="Q20" s="1119"/>
      <c r="R20" s="1119"/>
      <c r="S20" s="1119"/>
      <c r="T20" s="1119"/>
      <c r="U20" s="1121"/>
      <c r="V20" s="1121"/>
      <c r="W20" s="1121"/>
      <c r="X20" s="1121"/>
      <c r="Y20" s="1121"/>
      <c r="Z20" s="1121"/>
      <c r="AA20" s="1121"/>
      <c r="AB20" s="1119"/>
      <c r="AC20" s="1120"/>
      <c r="AD20" s="1120"/>
      <c r="AE20" s="1120"/>
      <c r="AF20" s="1120"/>
      <c r="AG20" s="1120"/>
      <c r="AH20" s="1120"/>
      <c r="AI20" s="1120"/>
      <c r="AJ20" s="1120"/>
      <c r="AK20" s="1120"/>
      <c r="AL20" s="1120"/>
      <c r="AM20" s="1120"/>
      <c r="AN20" s="1120"/>
      <c r="AO20" s="1120"/>
      <c r="AP20" s="1120"/>
      <c r="AQ20" s="1120"/>
      <c r="AR20" s="1120"/>
      <c r="AS20" s="1120"/>
      <c r="AT20" s="1120"/>
      <c r="AU20" s="1120"/>
      <c r="AV20" s="1120"/>
      <c r="AW20" s="1120"/>
      <c r="AX20" s="1120"/>
      <c r="AY20" s="1120"/>
      <c r="AZ20" s="1120"/>
      <c r="BA20" s="1120"/>
      <c r="BB20" s="1120"/>
      <c r="BC20" s="1120"/>
      <c r="BD20" s="1120"/>
      <c r="BE20" s="1120"/>
      <c r="BF20" s="1120"/>
      <c r="BG20" s="1120"/>
      <c r="BH20" s="1120"/>
      <c r="BI20" s="1120"/>
      <c r="BJ20" s="1120"/>
      <c r="BK20" s="1120"/>
      <c r="BL20" s="1120"/>
      <c r="BM20" s="1120"/>
      <c r="BN20" s="1120"/>
      <c r="BO20" s="1120"/>
      <c r="BP20" s="1120"/>
      <c r="BQ20" s="1120"/>
      <c r="BR20" s="1120"/>
      <c r="BS20" s="1120"/>
      <c r="BT20" s="1120"/>
      <c r="BU20" s="1120"/>
      <c r="BV20" s="1120"/>
      <c r="BW20" s="1120"/>
      <c r="BX20" s="1120"/>
      <c r="BY20" s="1120"/>
      <c r="BZ20" s="1120"/>
      <c r="CA20" s="1120"/>
      <c r="CB20" s="1120"/>
      <c r="CC20" s="1120"/>
      <c r="CD20" s="1120"/>
      <c r="CE20" s="1120"/>
      <c r="CF20" s="1120"/>
      <c r="CG20" s="1120"/>
      <c r="CH20" s="1120"/>
      <c r="CI20" s="1120"/>
      <c r="CJ20" s="1120"/>
      <c r="CK20" s="1120"/>
      <c r="CL20" s="1122"/>
      <c r="CM20" s="1122"/>
      <c r="CN20" s="1122"/>
      <c r="CO20" s="1122"/>
      <c r="CP20" s="1122"/>
      <c r="CQ20" s="1122"/>
      <c r="CR20" s="1122"/>
      <c r="CS20" s="1122"/>
      <c r="CT20" s="1122"/>
      <c r="CU20" s="1122"/>
      <c r="CV20" s="1122"/>
      <c r="CW20" s="1122"/>
      <c r="CX20" s="1122"/>
      <c r="CY20" s="1122"/>
      <c r="CZ20" s="1122"/>
      <c r="DA20" s="1122"/>
      <c r="DB20" s="1122"/>
      <c r="DC20" s="1122"/>
      <c r="DD20" s="1122"/>
      <c r="DE20" s="1122"/>
      <c r="DF20" s="1122"/>
      <c r="DG20" s="1122"/>
      <c r="DH20" s="1122"/>
      <c r="DI20" s="1122"/>
      <c r="DJ20" s="1122"/>
      <c r="DK20" s="1122"/>
      <c r="DL20" s="1122"/>
      <c r="DM20" s="1122"/>
      <c r="DN20" s="1122"/>
      <c r="DO20" s="1122"/>
      <c r="DP20" s="1122"/>
      <c r="DQ20" s="1122"/>
      <c r="DR20" s="1122"/>
      <c r="DS20" s="1122"/>
      <c r="DT20" s="1122"/>
      <c r="DU20" s="1122"/>
      <c r="DV20" s="1122"/>
      <c r="DW20" s="1122"/>
      <c r="DX20" s="1122"/>
      <c r="DY20" s="1122"/>
      <c r="DZ20" s="1122"/>
      <c r="EA20" s="1122"/>
      <c r="EB20" s="1122"/>
      <c r="EC20" s="1122"/>
      <c r="ED20" s="1122"/>
      <c r="EE20" s="1122"/>
      <c r="EF20" s="1122"/>
      <c r="EG20" s="1122"/>
      <c r="EH20" s="1122"/>
      <c r="EI20" s="1122"/>
      <c r="EJ20" s="1122"/>
      <c r="EK20" s="1122"/>
      <c r="EL20" s="1122"/>
      <c r="EM20" s="1122"/>
      <c r="EN20" s="1122"/>
      <c r="EO20" s="1122"/>
      <c r="EP20" s="1122"/>
      <c r="EQ20" s="1122"/>
      <c r="ER20" s="1122"/>
      <c r="ES20" s="1122"/>
      <c r="ET20" s="1122"/>
      <c r="EU20" s="1122"/>
      <c r="EV20" s="1122"/>
      <c r="EW20" s="1122"/>
      <c r="EX20" s="1122"/>
      <c r="EY20" s="1122"/>
      <c r="EZ20" s="1122"/>
      <c r="FA20" s="1122"/>
      <c r="FB20" s="1122"/>
      <c r="FC20" s="1122"/>
      <c r="FD20" s="1122"/>
      <c r="FE20" s="1122"/>
      <c r="FF20" s="1122"/>
      <c r="FG20" s="1122"/>
      <c r="FH20" s="1122"/>
      <c r="FI20" s="1122"/>
      <c r="FJ20" s="1122"/>
      <c r="FK20" s="1122"/>
      <c r="FL20" s="1122"/>
      <c r="FM20" s="1122"/>
      <c r="FN20" s="1122"/>
      <c r="FO20" s="1122"/>
      <c r="FP20" s="1122"/>
      <c r="FQ20" s="1122"/>
      <c r="FR20" s="1122"/>
      <c r="FS20" s="1122"/>
      <c r="FT20" s="1122"/>
      <c r="FU20" s="1122"/>
      <c r="FV20" s="1122"/>
      <c r="FW20" s="1122"/>
      <c r="FX20" s="1123"/>
      <c r="GC20" s="849">
        <v>0</v>
      </c>
    </row>
    <row r="21" spans="1:185" s="5262" customFormat="1" ht="12.75" customHeight="1">
      <c r="A21" s="868"/>
      <c r="B21" s="868"/>
      <c r="C21" s="868"/>
      <c r="D21" s="868"/>
      <c r="E21" s="868"/>
      <c r="F21" s="866"/>
      <c r="G21" s="866"/>
      <c r="H21" s="866"/>
      <c r="I21" s="866"/>
      <c r="J21" s="866"/>
      <c r="K21" s="866"/>
      <c r="L21" s="866"/>
      <c r="M21" s="866"/>
      <c r="N21" s="866"/>
      <c r="O21" s="866"/>
      <c r="P21" s="866"/>
      <c r="Q21" s="866"/>
      <c r="R21" s="866"/>
      <c r="S21" s="869"/>
      <c r="T21" s="869"/>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c r="CW21" s="866"/>
      <c r="CX21" s="866"/>
      <c r="CY21" s="866"/>
      <c r="CZ21" s="866"/>
      <c r="DA21" s="866"/>
      <c r="DB21" s="866"/>
      <c r="DC21" s="866"/>
      <c r="DD21" s="866"/>
      <c r="DE21" s="866"/>
      <c r="DF21" s="866"/>
      <c r="DG21" s="866"/>
      <c r="DH21" s="866"/>
      <c r="DI21" s="866"/>
      <c r="DJ21" s="866"/>
      <c r="DK21" s="866"/>
      <c r="DL21" s="866"/>
      <c r="DM21" s="866"/>
      <c r="DN21" s="866"/>
      <c r="DO21" s="866"/>
      <c r="DP21" s="866"/>
      <c r="DQ21" s="866"/>
      <c r="DR21" s="866"/>
      <c r="DS21" s="866"/>
      <c r="DT21" s="866"/>
      <c r="DU21" s="866"/>
      <c r="DV21" s="866"/>
      <c r="DW21" s="866"/>
      <c r="DX21" s="866"/>
      <c r="DY21" s="866"/>
      <c r="DZ21" s="866"/>
      <c r="EA21" s="866"/>
      <c r="EB21" s="866"/>
      <c r="EC21" s="866"/>
      <c r="ED21" s="866"/>
      <c r="EE21" s="866"/>
      <c r="EF21" s="866"/>
      <c r="EG21" s="866"/>
      <c r="EH21" s="866"/>
      <c r="EI21" s="866"/>
      <c r="EJ21" s="866"/>
      <c r="EK21" s="866"/>
      <c r="EL21" s="866"/>
      <c r="EM21" s="866"/>
      <c r="EN21" s="866"/>
      <c r="EO21" s="866"/>
      <c r="EP21" s="866"/>
      <c r="EQ21" s="866"/>
      <c r="ER21" s="866"/>
      <c r="ES21" s="866"/>
      <c r="ET21" s="866"/>
      <c r="EU21" s="866"/>
      <c r="EV21" s="866"/>
      <c r="EW21" s="866"/>
      <c r="EX21" s="866"/>
      <c r="EY21" s="866"/>
      <c r="EZ21" s="866"/>
      <c r="FA21" s="866"/>
      <c r="FB21" s="866"/>
      <c r="FC21" s="866"/>
      <c r="FD21" s="866"/>
      <c r="FE21" s="866"/>
      <c r="FF21" s="866"/>
      <c r="FG21" s="866"/>
      <c r="FH21" s="866"/>
      <c r="FI21" s="866"/>
      <c r="FJ21" s="866"/>
      <c r="FK21" s="866"/>
      <c r="FL21" s="866"/>
      <c r="FM21" s="866"/>
      <c r="FN21" s="866"/>
      <c r="FO21" s="866"/>
      <c r="FP21" s="866"/>
      <c r="FQ21" s="866"/>
      <c r="FR21" s="866"/>
      <c r="FS21" s="866"/>
      <c r="FT21" s="866"/>
      <c r="FU21" s="866"/>
      <c r="FV21" s="866"/>
      <c r="FW21" s="866"/>
      <c r="FX21" s="868"/>
      <c r="FY21" s="868"/>
      <c r="FZ21" s="868"/>
      <c r="GA21" s="868"/>
      <c r="GB21" s="868"/>
      <c r="GC21" s="849">
        <v>12</v>
      </c>
    </row>
    <row r="22" spans="1:185" s="5262" customFormat="1" ht="12.75" customHeight="1">
      <c r="A22" s="868"/>
      <c r="B22" s="868"/>
      <c r="C22" s="868"/>
      <c r="D22" s="868"/>
      <c r="E22" s="868"/>
      <c r="FX22" s="868"/>
      <c r="FY22" s="868"/>
      <c r="FZ22" s="868"/>
      <c r="GA22" s="868"/>
      <c r="GB22" s="868"/>
      <c r="GC22" s="849">
        <v>12</v>
      </c>
    </row>
    <row r="23" spans="1:185" s="5266" customFormat="1" ht="12.75" customHeight="1">
      <c r="A23" s="987"/>
      <c r="B23" s="987"/>
      <c r="C23" s="987"/>
      <c r="D23" s="987"/>
      <c r="E23" s="987"/>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c r="AT23" s="989"/>
      <c r="AU23" s="989"/>
      <c r="AV23" s="989"/>
      <c r="AW23" s="989"/>
      <c r="AX23" s="989"/>
      <c r="AY23" s="989"/>
      <c r="AZ23" s="989"/>
      <c r="BA23" s="989"/>
      <c r="BB23" s="989"/>
      <c r="BC23" s="989"/>
      <c r="BD23" s="989"/>
      <c r="BE23" s="989"/>
      <c r="BF23" s="989"/>
      <c r="BG23" s="989"/>
      <c r="BH23" s="989"/>
      <c r="BI23" s="989"/>
      <c r="BJ23" s="989"/>
      <c r="BK23" s="989"/>
      <c r="BL23" s="989"/>
      <c r="BM23" s="989"/>
      <c r="BN23" s="989"/>
      <c r="BO23" s="989"/>
      <c r="BP23" s="989"/>
      <c r="BQ23" s="989"/>
      <c r="BR23" s="989"/>
      <c r="BS23" s="989"/>
      <c r="BT23" s="990"/>
      <c r="BU23" s="990"/>
      <c r="BV23" s="990"/>
      <c r="BW23" s="990"/>
      <c r="BX23" s="990"/>
      <c r="BY23" s="990"/>
      <c r="BZ23" s="990"/>
      <c r="CA23" s="990"/>
      <c r="CB23" s="990"/>
      <c r="CC23" s="990"/>
      <c r="CD23" s="990"/>
      <c r="CE23" s="990"/>
      <c r="CF23" s="990"/>
      <c r="CG23" s="990"/>
      <c r="CH23" s="990"/>
      <c r="CI23" s="990"/>
      <c r="CJ23" s="990"/>
      <c r="CK23" s="990"/>
      <c r="CL23" s="990"/>
      <c r="CM23" s="990"/>
      <c r="CN23" s="990"/>
      <c r="CO23" s="990"/>
      <c r="CP23" s="990"/>
      <c r="CQ23" s="990"/>
      <c r="CR23" s="990"/>
      <c r="CS23" s="990"/>
      <c r="CT23" s="990"/>
      <c r="CU23" s="990"/>
      <c r="CV23" s="990"/>
      <c r="CW23" s="990"/>
      <c r="CX23" s="990"/>
      <c r="CY23" s="990"/>
      <c r="CZ23" s="990"/>
      <c r="DA23" s="990"/>
      <c r="DB23" s="990"/>
      <c r="DC23" s="990"/>
      <c r="DD23" s="990"/>
      <c r="DE23" s="990"/>
      <c r="DF23" s="990"/>
      <c r="DG23" s="990"/>
      <c r="DH23" s="990"/>
      <c r="DI23" s="990"/>
      <c r="DJ23" s="990"/>
      <c r="DK23" s="990"/>
      <c r="DL23" s="990"/>
      <c r="DM23" s="990"/>
      <c r="DN23" s="990"/>
      <c r="DO23" s="990"/>
      <c r="DP23" s="990"/>
      <c r="DQ23" s="990"/>
      <c r="DR23" s="990"/>
      <c r="DS23" s="990"/>
      <c r="DT23" s="990"/>
      <c r="DU23" s="990"/>
      <c r="DV23" s="990"/>
      <c r="DW23" s="990"/>
      <c r="DX23" s="990"/>
      <c r="FX23" s="987"/>
      <c r="FY23" s="987"/>
      <c r="FZ23" s="987"/>
      <c r="GA23" s="987"/>
      <c r="GB23" s="987"/>
      <c r="GC23" s="988">
        <v>12</v>
      </c>
    </row>
    <row r="24" spans="1:185" ht="12.75" customHeight="1">
      <c r="S24" s="865"/>
      <c r="T24" s="865"/>
      <c r="U24" s="865"/>
      <c r="V24" s="865"/>
      <c r="W24" s="865"/>
      <c r="X24" s="865"/>
      <c r="Y24" s="865"/>
      <c r="Z24" s="865"/>
      <c r="AA24" s="865"/>
      <c r="AB24" s="865"/>
      <c r="FX24" s="865"/>
      <c r="FY24" s="865"/>
      <c r="FZ24" s="865"/>
      <c r="GA24" s="865"/>
      <c r="GB24" s="865"/>
      <c r="GC24" s="853">
        <v>12</v>
      </c>
    </row>
    <row r="25" spans="1:185" ht="12" hidden="1" customHeight="1">
      <c r="A25" s="853" t="s">
        <v>82</v>
      </c>
      <c r="B25" s="863">
        <v>0</v>
      </c>
      <c r="C25" s="853">
        <v>0</v>
      </c>
      <c r="D25" s="853">
        <v>0</v>
      </c>
      <c r="E25" s="853">
        <v>3</v>
      </c>
      <c r="F25" s="853">
        <v>6</v>
      </c>
      <c r="G25" s="853">
        <v>18</v>
      </c>
      <c r="H25" s="853">
        <v>27</v>
      </c>
      <c r="I25" s="853">
        <v>18</v>
      </c>
      <c r="J25" s="853">
        <v>0</v>
      </c>
      <c r="K25" s="853">
        <v>0</v>
      </c>
      <c r="L25" s="853">
        <v>0</v>
      </c>
      <c r="M25" s="853">
        <v>0</v>
      </c>
      <c r="N25" s="853">
        <v>0</v>
      </c>
      <c r="O25" s="853">
        <v>0</v>
      </c>
      <c r="P25" s="853">
        <v>0</v>
      </c>
      <c r="Q25" s="853">
        <v>0</v>
      </c>
      <c r="R25" s="853">
        <v>0</v>
      </c>
      <c r="S25" s="853">
        <v>0</v>
      </c>
      <c r="T25" s="853">
        <v>0</v>
      </c>
      <c r="U25" s="853">
        <v>0</v>
      </c>
      <c r="V25" s="853">
        <v>0</v>
      </c>
      <c r="W25" s="853">
        <v>0</v>
      </c>
      <c r="X25" s="853">
        <v>0</v>
      </c>
      <c r="Y25" s="853">
        <v>0</v>
      </c>
      <c r="Z25" s="853">
        <v>0</v>
      </c>
      <c r="AA25" s="853">
        <v>0</v>
      </c>
      <c r="AB25" s="853">
        <v>0</v>
      </c>
      <c r="AC25" s="853">
        <v>0</v>
      </c>
      <c r="AD25" s="853">
        <v>0</v>
      </c>
      <c r="AE25" s="853">
        <v>0</v>
      </c>
      <c r="AF25" s="853">
        <v>0</v>
      </c>
      <c r="AG25" s="853">
        <v>0</v>
      </c>
      <c r="AH25" s="853">
        <v>0</v>
      </c>
      <c r="AI25" s="853">
        <v>0</v>
      </c>
      <c r="AJ25" s="853">
        <v>0</v>
      </c>
      <c r="AK25" s="853">
        <v>0</v>
      </c>
      <c r="AL25" s="853">
        <v>0</v>
      </c>
      <c r="AM25" s="853">
        <v>0</v>
      </c>
      <c r="AN25" s="853">
        <v>0</v>
      </c>
      <c r="AO25" s="853">
        <v>0</v>
      </c>
      <c r="AP25" s="853">
        <v>0</v>
      </c>
      <c r="AQ25" s="853">
        <v>0</v>
      </c>
      <c r="AR25" s="853">
        <v>0</v>
      </c>
      <c r="AS25" s="853">
        <v>0</v>
      </c>
      <c r="AT25" s="853">
        <v>0</v>
      </c>
      <c r="AU25" s="853">
        <v>0</v>
      </c>
      <c r="AV25" s="853">
        <v>0</v>
      </c>
      <c r="AW25" s="853">
        <v>0</v>
      </c>
      <c r="AX25" s="853">
        <v>0</v>
      </c>
      <c r="AY25" s="853">
        <v>0</v>
      </c>
      <c r="AZ25" s="853">
        <v>0</v>
      </c>
      <c r="BA25" s="853">
        <v>0</v>
      </c>
      <c r="BB25" s="853">
        <v>0</v>
      </c>
      <c r="BC25" s="853">
        <v>0</v>
      </c>
      <c r="BD25" s="853">
        <v>0</v>
      </c>
      <c r="BE25" s="853">
        <v>0</v>
      </c>
      <c r="BF25" s="853">
        <v>0</v>
      </c>
      <c r="BG25" s="853">
        <v>0</v>
      </c>
      <c r="BH25" s="853">
        <v>0</v>
      </c>
      <c r="BI25" s="853">
        <v>0</v>
      </c>
      <c r="BJ25" s="853">
        <v>0</v>
      </c>
      <c r="BK25" s="853">
        <v>0</v>
      </c>
      <c r="BL25" s="853">
        <v>0</v>
      </c>
      <c r="BM25" s="853">
        <v>0</v>
      </c>
      <c r="BN25" s="853">
        <v>0</v>
      </c>
      <c r="BO25" s="853">
        <v>0</v>
      </c>
      <c r="BP25" s="853">
        <v>0</v>
      </c>
      <c r="BQ25" s="853">
        <v>0</v>
      </c>
      <c r="BR25" s="853">
        <v>0</v>
      </c>
      <c r="BS25" s="853">
        <v>0</v>
      </c>
      <c r="BT25" s="853">
        <v>0</v>
      </c>
      <c r="BU25" s="853">
        <v>0</v>
      </c>
      <c r="BV25" s="853">
        <v>0</v>
      </c>
      <c r="BW25" s="853">
        <v>0</v>
      </c>
      <c r="BX25" s="853">
        <v>0</v>
      </c>
      <c r="BY25" s="853">
        <v>0</v>
      </c>
      <c r="BZ25" s="853">
        <v>0</v>
      </c>
      <c r="CA25" s="853">
        <v>0</v>
      </c>
      <c r="CB25" s="853">
        <v>0</v>
      </c>
      <c r="CC25" s="853">
        <v>0</v>
      </c>
      <c r="CD25" s="853">
        <v>0</v>
      </c>
      <c r="CE25" s="853">
        <v>0</v>
      </c>
      <c r="CF25" s="853">
        <v>0</v>
      </c>
      <c r="CG25" s="853">
        <v>0</v>
      </c>
      <c r="CH25" s="853">
        <v>0</v>
      </c>
      <c r="CI25" s="853">
        <v>0</v>
      </c>
      <c r="CJ25" s="853">
        <v>0</v>
      </c>
      <c r="CK25" s="853">
        <v>0</v>
      </c>
      <c r="CL25" s="853">
        <v>0</v>
      </c>
      <c r="CM25" s="853">
        <v>0</v>
      </c>
      <c r="CN25" s="853">
        <v>0</v>
      </c>
      <c r="CO25" s="853">
        <v>0</v>
      </c>
      <c r="CP25" s="853">
        <v>0</v>
      </c>
      <c r="CQ25" s="853">
        <v>0</v>
      </c>
      <c r="CR25" s="853">
        <v>0</v>
      </c>
      <c r="CS25" s="853">
        <v>0</v>
      </c>
      <c r="CT25" s="853">
        <v>0</v>
      </c>
      <c r="CU25" s="853">
        <v>0</v>
      </c>
      <c r="CV25" s="853">
        <v>0</v>
      </c>
      <c r="CW25" s="853">
        <v>0</v>
      </c>
      <c r="CX25" s="853">
        <v>0</v>
      </c>
      <c r="CY25" s="853">
        <v>0</v>
      </c>
      <c r="CZ25" s="853">
        <v>0</v>
      </c>
      <c r="DA25" s="853">
        <v>0</v>
      </c>
      <c r="DB25" s="853">
        <v>0</v>
      </c>
      <c r="DC25" s="853">
        <v>0</v>
      </c>
      <c r="DD25" s="853">
        <v>0</v>
      </c>
      <c r="DE25" s="853">
        <v>0</v>
      </c>
      <c r="DF25" s="853">
        <v>0</v>
      </c>
      <c r="DG25" s="853">
        <v>0</v>
      </c>
      <c r="DH25" s="853">
        <v>0</v>
      </c>
      <c r="DI25" s="853">
        <v>0</v>
      </c>
      <c r="DJ25" s="853">
        <v>0</v>
      </c>
      <c r="DK25" s="853">
        <v>0</v>
      </c>
      <c r="DL25" s="853">
        <v>0</v>
      </c>
      <c r="DM25" s="853">
        <v>0</v>
      </c>
      <c r="DN25" s="853">
        <v>0</v>
      </c>
      <c r="DO25" s="853">
        <v>0</v>
      </c>
      <c r="DP25" s="853">
        <v>0</v>
      </c>
      <c r="DQ25" s="853">
        <v>0</v>
      </c>
      <c r="DR25" s="853">
        <v>0</v>
      </c>
      <c r="DS25" s="853">
        <v>0</v>
      </c>
      <c r="DT25" s="853">
        <v>0</v>
      </c>
      <c r="DU25" s="853">
        <v>0</v>
      </c>
      <c r="DV25" s="853">
        <v>0</v>
      </c>
      <c r="DW25" s="853">
        <v>0</v>
      </c>
      <c r="DX25" s="853">
        <v>0</v>
      </c>
      <c r="DY25" s="853">
        <v>0</v>
      </c>
      <c r="DZ25" s="853">
        <v>0</v>
      </c>
      <c r="EA25" s="853">
        <v>0</v>
      </c>
      <c r="EB25" s="853">
        <v>0</v>
      </c>
      <c r="EC25" s="853">
        <v>0</v>
      </c>
      <c r="ED25" s="853">
        <v>0</v>
      </c>
      <c r="EE25" s="853">
        <v>0</v>
      </c>
      <c r="EF25" s="853">
        <v>0</v>
      </c>
      <c r="EG25" s="853">
        <v>0</v>
      </c>
      <c r="EH25" s="853">
        <v>0</v>
      </c>
      <c r="EI25" s="853">
        <v>0</v>
      </c>
      <c r="EJ25" s="853">
        <v>0</v>
      </c>
      <c r="EK25" s="853">
        <v>0</v>
      </c>
      <c r="EL25" s="853">
        <v>0</v>
      </c>
      <c r="EM25" s="853">
        <v>0</v>
      </c>
      <c r="EN25" s="853">
        <v>0</v>
      </c>
      <c r="EO25" s="853">
        <v>0</v>
      </c>
      <c r="EP25" s="853">
        <v>0</v>
      </c>
      <c r="EQ25" s="853">
        <v>0</v>
      </c>
      <c r="ER25" s="853">
        <v>0</v>
      </c>
      <c r="ES25" s="853">
        <v>0</v>
      </c>
      <c r="ET25" s="853">
        <v>0</v>
      </c>
      <c r="EU25" s="853">
        <v>0</v>
      </c>
      <c r="EV25" s="853">
        <v>0</v>
      </c>
      <c r="EW25" s="853">
        <v>0</v>
      </c>
      <c r="EX25" s="853">
        <v>0</v>
      </c>
      <c r="EY25" s="853">
        <v>0</v>
      </c>
      <c r="EZ25" s="853">
        <v>0</v>
      </c>
      <c r="FA25" s="853">
        <v>0</v>
      </c>
      <c r="FB25" s="853">
        <v>0</v>
      </c>
      <c r="FC25" s="853">
        <v>0</v>
      </c>
      <c r="FD25" s="853">
        <v>0</v>
      </c>
      <c r="FE25" s="853">
        <v>0</v>
      </c>
      <c r="FF25" s="853">
        <v>0</v>
      </c>
      <c r="FG25" s="853">
        <v>0</v>
      </c>
      <c r="FH25" s="853">
        <v>0</v>
      </c>
      <c r="FI25" s="853">
        <v>0</v>
      </c>
      <c r="FJ25" s="853">
        <v>0</v>
      </c>
      <c r="FK25" s="853">
        <v>0</v>
      </c>
      <c r="FL25" s="853">
        <v>0</v>
      </c>
      <c r="FM25" s="853">
        <v>0</v>
      </c>
      <c r="FN25" s="853">
        <v>0</v>
      </c>
      <c r="FO25" s="853">
        <v>0</v>
      </c>
      <c r="FP25" s="853">
        <v>0</v>
      </c>
      <c r="FQ25" s="853">
        <v>0</v>
      </c>
      <c r="FR25" s="853">
        <v>0</v>
      </c>
      <c r="FS25" s="853">
        <v>0</v>
      </c>
      <c r="FT25" s="853">
        <v>0</v>
      </c>
      <c r="FU25" s="853">
        <v>0</v>
      </c>
      <c r="FV25" s="853">
        <v>0</v>
      </c>
      <c r="FW25" s="853">
        <v>0</v>
      </c>
      <c r="FX25" s="853">
        <v>8</v>
      </c>
      <c r="FY25" s="853">
        <v>8</v>
      </c>
      <c r="FZ25" s="853">
        <v>8</v>
      </c>
      <c r="GA25" s="853">
        <v>8</v>
      </c>
      <c r="GB25" s="853">
        <v>8</v>
      </c>
      <c r="GC25" s="853">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4265" hidden="1" customWidth="1"/>
    <col min="2" max="2" width="9.140625" style="4267" hidden="1" customWidth="1"/>
    <col min="3" max="3" width="4" style="5260" customWidth="1"/>
    <col min="4" max="4" width="6" style="4267" customWidth="1"/>
    <col min="5" max="5" width="36" style="4267" customWidth="1"/>
    <col min="6" max="6" width="9" style="4267" customWidth="1"/>
    <col min="7" max="7" width="42.42578125" style="4267" hidden="1" customWidth="1"/>
    <col min="8" max="8" width="40.7109375" style="4267" customWidth="1"/>
    <col min="9" max="9" width="93" style="4274" customWidth="1"/>
    <col min="10" max="17" width="10" style="4267" customWidth="1"/>
    <col min="18" max="18" width="10" style="5261" customWidth="1"/>
    <col min="19" max="19" width="10.5703125" style="4267" hidden="1"/>
  </cols>
  <sheetData>
    <row r="1" spans="1:19" s="4274" customFormat="1" ht="15" hidden="1" customHeight="1">
      <c r="C1" s="610"/>
      <c r="H1" s="355">
        <v>4</v>
      </c>
      <c r="R1" s="358"/>
      <c r="S1" s="355" t="s">
        <v>14</v>
      </c>
    </row>
    <row r="2" spans="1:19" ht="22.5" hidden="1" customHeight="1">
      <c r="C2" s="1843" t="s">
        <v>104</v>
      </c>
      <c r="D2" s="477"/>
      <c r="E2" s="601"/>
      <c r="F2" s="1681" t="str">
        <f>IF(TEMPLATE_SPHERE="HEAT","Гкал/час","тыс. куб. м/сутки")</f>
        <v>тыс. куб. м/сутки</v>
      </c>
      <c r="G2" s="618"/>
      <c r="H2" s="618"/>
      <c r="I2" s="227"/>
      <c r="S2" s="443">
        <v>0</v>
      </c>
    </row>
    <row r="3" spans="1:19" s="4274" customFormat="1" ht="15" hidden="1" customHeight="1">
      <c r="C3" s="610"/>
      <c r="R3" s="358"/>
      <c r="S3" s="355">
        <v>0</v>
      </c>
    </row>
    <row r="4" spans="1:19" ht="15.75" customHeight="1">
      <c r="C4" s="114"/>
      <c r="D4" s="447"/>
      <c r="E4" s="447"/>
      <c r="F4" s="447"/>
      <c r="G4" s="447"/>
      <c r="H4" s="447"/>
      <c r="S4" s="443">
        <v>15</v>
      </c>
    </row>
    <row r="5" spans="1:19" ht="39.75" customHeight="1">
      <c r="C5" s="114"/>
      <c r="D5" s="545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5450"/>
      <c r="F5" s="5450"/>
      <c r="G5" s="5450"/>
      <c r="H5" s="5450"/>
      <c r="I5" s="475"/>
      <c r="S5" s="443">
        <v>38</v>
      </c>
    </row>
    <row r="6" spans="1:19" ht="15.75" customHeight="1">
      <c r="C6" s="114"/>
      <c r="D6" s="5423" t="str">
        <f>IF(org=0,"Не определено",org)</f>
        <v>КГУП "Примтеплоэнерго"</v>
      </c>
      <c r="E6" s="5423"/>
      <c r="F6" s="5423"/>
      <c r="G6" s="5423"/>
      <c r="H6" s="5423"/>
      <c r="I6" s="475"/>
      <c r="S6" s="443">
        <v>15</v>
      </c>
    </row>
    <row r="7" spans="1:19" s="4267" customFormat="1" ht="15.75" customHeight="1">
      <c r="A7" s="695"/>
      <c r="C7" s="114"/>
      <c r="D7" s="614"/>
      <c r="E7" s="614"/>
      <c r="F7" s="614"/>
      <c r="G7" s="614"/>
      <c r="H7" s="690"/>
      <c r="I7" s="475"/>
      <c r="R7" s="613"/>
      <c r="S7" s="694">
        <v>15</v>
      </c>
    </row>
    <row r="8" spans="1:19" ht="1.1499999999999999" customHeight="1">
      <c r="C8" s="114"/>
      <c r="D8" s="447"/>
      <c r="E8" s="447"/>
      <c r="F8" s="447"/>
      <c r="G8" s="447"/>
      <c r="H8" s="475" t="s">
        <v>149</v>
      </c>
      <c r="S8" s="443">
        <v>1</v>
      </c>
    </row>
    <row r="9" spans="1:19" ht="15.75" customHeight="1">
      <c r="C9" s="114"/>
      <c r="D9" s="649"/>
      <c r="E9" s="5559" t="s">
        <v>141</v>
      </c>
      <c r="F9" s="5560"/>
      <c r="G9" s="748" t="str">
        <f>IF(G8="","",INDEX(DIFFERENTIATION_UNMERGE_VD,MATCH(G8,DIFFERENTIATION_ID_DIFF,0)))</f>
        <v/>
      </c>
      <c r="H9" s="748">
        <f>IF(H8="","",INDEX(DIFFERENTIATION_UNMERGE_VD,MATCH(H8,DIFFERENTIATION_ID_DIFF,0)))</f>
        <v>0</v>
      </c>
      <c r="I9" s="5328" t="s">
        <v>394</v>
      </c>
      <c r="S9" s="443">
        <v>15</v>
      </c>
    </row>
    <row r="10" spans="1:19" s="4267" customFormat="1" ht="15.75" customHeight="1">
      <c r="A10" s="695"/>
      <c r="C10" s="114"/>
      <c r="D10" s="649"/>
      <c r="E10" s="5559" t="s">
        <v>656</v>
      </c>
      <c r="F10" s="5560"/>
      <c r="G10" s="748" t="str">
        <f>IF(G8="","",INDEX(DIFFERENTIATION_UNMERGE_AREA,MATCH(G8,DIFFERENTIATION_ID_DIFF,0)))</f>
        <v/>
      </c>
      <c r="H10" s="748" t="str">
        <f>IF(H8="","",INDEX(DIFFERENTIATION_UNMERGE_AREA,MATCH(H8,DIFFERENTIATION_ID_DIFF,0)))</f>
        <v/>
      </c>
      <c r="I10" s="5328"/>
      <c r="R10" s="613"/>
      <c r="S10" s="694">
        <v>15</v>
      </c>
    </row>
    <row r="11" spans="1:19" s="4267" customFormat="1" ht="15.75" customHeight="1">
      <c r="A11" s="695"/>
      <c r="C11" s="114"/>
      <c r="D11" s="649"/>
      <c r="E11" s="5559" t="s">
        <v>657</v>
      </c>
      <c r="F11" s="5560"/>
      <c r="G11" s="748" t="str">
        <f>IF(G8="","",INDEX(DIFFERENTIATION_UNMERGE_SYSTEM,MATCH(G8,DIFFERENTIATION_ID_DIFF,0)))</f>
        <v/>
      </c>
      <c r="H11" s="748" t="str">
        <f>IF(H8="","",INDEX(DIFFERENTIATION_UNMERGE_SYSTEM,MATCH(H8,DIFFERENTIATION_ID_DIFF,0)))</f>
        <v>без дифференциации</v>
      </c>
      <c r="I11" s="5328"/>
      <c r="R11" s="613"/>
      <c r="S11" s="694">
        <v>15</v>
      </c>
    </row>
    <row r="12" spans="1:19" s="4267" customFormat="1" ht="15.75" customHeight="1">
      <c r="A12" s="695"/>
      <c r="C12" s="114"/>
      <c r="D12" s="5561" t="s">
        <v>393</v>
      </c>
      <c r="E12" s="5562"/>
      <c r="F12" s="5562"/>
      <c r="G12" s="814"/>
      <c r="H12" s="814"/>
      <c r="I12" s="5328"/>
      <c r="R12" s="613"/>
      <c r="S12" s="694">
        <v>15</v>
      </c>
    </row>
    <row r="13" spans="1:19" ht="35.65" customHeight="1">
      <c r="C13" s="114"/>
      <c r="D13" s="697" t="s">
        <v>88</v>
      </c>
      <c r="E13" s="696" t="s">
        <v>395</v>
      </c>
      <c r="F13" s="696" t="s">
        <v>658</v>
      </c>
      <c r="G13" s="740" t="s">
        <v>396</v>
      </c>
      <c r="H13" s="692" t="s">
        <v>396</v>
      </c>
      <c r="I13" s="5328"/>
      <c r="S13" s="443">
        <v>34</v>
      </c>
    </row>
    <row r="14" spans="1:19" ht="15" hidden="1" customHeight="1">
      <c r="C14" s="114"/>
      <c r="D14" s="531" t="s">
        <v>136</v>
      </c>
      <c r="E14" s="531" t="s">
        <v>103</v>
      </c>
      <c r="F14" s="531" t="s">
        <v>90</v>
      </c>
      <c r="G14" s="597" t="str">
        <f>G1&amp;".1"</f>
        <v>.1</v>
      </c>
      <c r="H14" s="597" t="str">
        <f>H1&amp;".1"</f>
        <v>4.1</v>
      </c>
      <c r="I14" s="227"/>
      <c r="S14" s="443">
        <v>0</v>
      </c>
    </row>
    <row r="15" spans="1:19" ht="15.75" customHeight="1">
      <c r="A15" s="443"/>
      <c r="C15" s="464"/>
      <c r="D15" s="459">
        <v>1</v>
      </c>
      <c r="E15" s="1845" t="str">
        <f>TP_P_A</f>
        <v xml:space="preserve">Количество поданных заявлений </v>
      </c>
      <c r="F15" s="459" t="s">
        <v>1206</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45" t="str">
        <f>TP_P_B</f>
        <v xml:space="preserve">Количество исполненных заявлений </v>
      </c>
      <c r="F16" s="459" t="s">
        <v>1206</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45"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1206</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45" t="str">
        <f>TP_P_V_1</f>
        <v>Причины отказа в заключении договора о подключении (технологическом присоединении) к централизованной системе водоотведения</v>
      </c>
      <c r="F18" s="459" t="s">
        <v>399</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45"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1207</v>
      </c>
      <c r="E20" s="626"/>
      <c r="F20" s="447"/>
      <c r="G20" s="447"/>
      <c r="H20" s="447"/>
      <c r="I20" s="1683"/>
      <c r="S20" s="443">
        <v>0</v>
      </c>
    </row>
    <row r="21" spans="1:19" ht="29.25" customHeight="1">
      <c r="C21" s="389"/>
      <c r="D21" s="477" t="s">
        <v>406</v>
      </c>
      <c r="E21" s="608"/>
      <c r="F21" s="1681" t="str">
        <f>IF(TEMPLATE_SPHERE="HEAT","Гкал/час","тыс. куб. м/сутки")</f>
        <v>тыс. куб. м/сутки</v>
      </c>
      <c r="G21" s="618"/>
      <c r="H21" s="618"/>
      <c r="I21" s="5377"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1208</v>
      </c>
      <c r="F22" s="510"/>
      <c r="G22" s="510"/>
      <c r="H22" s="510"/>
      <c r="I22" s="5379"/>
      <c r="R22" s="443"/>
      <c r="S22" s="443">
        <v>15</v>
      </c>
    </row>
    <row r="23" spans="1:19" ht="22.5" hidden="1" customHeight="1">
      <c r="A23" s="387" t="s">
        <v>82</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4302" hidden="1" customWidth="1"/>
    <col min="2" max="2" width="9.140625" style="4274" hidden="1" customWidth="1"/>
    <col min="3" max="3" width="3" style="4303" customWidth="1"/>
    <col min="4" max="4" width="6" style="4267" customWidth="1"/>
    <col min="5" max="6" width="64" style="4267" customWidth="1"/>
    <col min="7" max="7" width="140" style="4267" customWidth="1"/>
    <col min="8" max="8" width="10" style="4267" customWidth="1"/>
    <col min="9" max="10" width="10" style="4281" customWidth="1"/>
    <col min="11" max="16" width="10" style="4267" customWidth="1"/>
    <col min="17" max="17" width="10.5703125" style="4267" hidden="1"/>
  </cols>
  <sheetData>
    <row r="1" spans="1:17" ht="22.5" hidden="1" customHeight="1">
      <c r="M1" s="193"/>
      <c r="N1" s="193"/>
      <c r="P1" s="193"/>
      <c r="Q1" s="24" t="s">
        <v>14</v>
      </c>
    </row>
    <row r="2" spans="1:17" ht="14.25" hidden="1" customHeight="1">
      <c r="Q2" s="24">
        <v>0</v>
      </c>
    </row>
    <row r="3" spans="1:17" ht="14.25" hidden="1" customHeight="1">
      <c r="Q3" s="24">
        <v>0</v>
      </c>
    </row>
    <row r="4" spans="1:17" ht="3" customHeight="1">
      <c r="C4" s="37"/>
      <c r="D4" s="25"/>
      <c r="E4" s="25"/>
      <c r="F4" s="26"/>
      <c r="G4" s="26"/>
      <c r="Q4" s="24">
        <v>3</v>
      </c>
    </row>
    <row r="5" spans="1:17" ht="29.25" customHeight="1">
      <c r="C5" s="37"/>
      <c r="D5" s="538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5384"/>
      <c r="F5" s="5384"/>
      <c r="G5" s="5385"/>
      <c r="Q5" s="24">
        <v>28</v>
      </c>
    </row>
    <row r="6" spans="1:17" s="4267" customFormat="1" ht="18.75" customHeight="1">
      <c r="A6" s="809"/>
      <c r="B6" s="355"/>
      <c r="C6" s="314"/>
      <c r="D6" s="5445" t="str">
        <f>IF(org=0,"Не определено",org)</f>
        <v>КГУП "Примтеплоэнерго"</v>
      </c>
      <c r="E6" s="5446"/>
      <c r="F6" s="5446"/>
      <c r="G6" s="5447"/>
      <c r="I6" s="438"/>
      <c r="J6" s="438"/>
      <c r="Q6" s="694">
        <v>18</v>
      </c>
    </row>
    <row r="7" spans="1:17" ht="14.65" customHeight="1">
      <c r="C7" s="37"/>
      <c r="D7" s="25"/>
      <c r="E7" s="36"/>
      <c r="F7" s="690"/>
      <c r="G7" s="131"/>
      <c r="Q7" s="24">
        <v>14</v>
      </c>
    </row>
    <row r="8" spans="1:17" s="4267" customFormat="1" ht="1.1499999999999999" customHeight="1">
      <c r="A8" s="1590"/>
      <c r="B8" s="1081"/>
      <c r="C8" s="314"/>
      <c r="D8" s="301"/>
      <c r="E8" s="327"/>
      <c r="F8" s="690"/>
      <c r="G8" s="131"/>
      <c r="I8" s="1545"/>
      <c r="J8" s="1545"/>
      <c r="Q8" s="1552">
        <v>1</v>
      </c>
    </row>
    <row r="9" spans="1:17" ht="14.65" customHeight="1">
      <c r="C9" s="37"/>
      <c r="D9" s="5431" t="s">
        <v>393</v>
      </c>
      <c r="E9" s="5431"/>
      <c r="F9" s="5431"/>
      <c r="G9" s="5576" t="s">
        <v>394</v>
      </c>
      <c r="Q9" s="24">
        <v>14</v>
      </c>
    </row>
    <row r="10" spans="1:17" ht="24" customHeight="1">
      <c r="C10" s="37"/>
      <c r="D10" s="46" t="s">
        <v>88</v>
      </c>
      <c r="E10" s="49" t="s">
        <v>395</v>
      </c>
      <c r="F10" s="49" t="s">
        <v>483</v>
      </c>
      <c r="G10" s="5576"/>
      <c r="Q10" s="24">
        <v>23</v>
      </c>
    </row>
    <row r="11" spans="1:17" ht="12" hidden="1" customHeight="1">
      <c r="C11" s="37"/>
      <c r="D11" s="28"/>
      <c r="E11" s="28"/>
      <c r="F11" s="28"/>
      <c r="G11" s="28"/>
      <c r="Q11" s="24">
        <v>0</v>
      </c>
    </row>
    <row r="12" spans="1:17" ht="65.25" customHeight="1">
      <c r="A12" s="130"/>
      <c r="C12" s="37"/>
      <c r="D12" s="86">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399</v>
      </c>
      <c r="G12" s="90"/>
      <c r="Q12" s="24">
        <v>62</v>
      </c>
    </row>
    <row r="13" spans="1:17" ht="24" customHeight="1">
      <c r="A13" s="130"/>
      <c r="C13" s="37"/>
      <c r="D13" s="86" t="s">
        <v>1113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399</v>
      </c>
      <c r="G13" s="90"/>
      <c r="Q13" s="24">
        <v>23</v>
      </c>
    </row>
    <row r="14" spans="1:17" ht="14.65" customHeight="1">
      <c r="A14" s="130"/>
      <c r="C14" s="37"/>
      <c r="D14" s="86" t="s">
        <v>1149</v>
      </c>
      <c r="E14" s="133"/>
      <c r="F14" s="151"/>
      <c r="G14" s="53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4">
        <v>14</v>
      </c>
    </row>
    <row r="15" spans="1:17" ht="15.75" customHeight="1">
      <c r="A15" s="130"/>
      <c r="C15" s="37"/>
      <c r="D15" s="50"/>
      <c r="E15" s="287" t="s">
        <v>1209</v>
      </c>
      <c r="F15" s="139"/>
      <c r="G15" s="5379"/>
      <c r="Q15" s="24">
        <v>15</v>
      </c>
    </row>
    <row r="16" spans="1:17" ht="14.65" customHeight="1">
      <c r="A16" s="130"/>
      <c r="C16" s="37"/>
      <c r="D16" s="86" t="s">
        <v>1115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399</v>
      </c>
      <c r="G16" s="275"/>
      <c r="Q16" s="24">
        <v>14</v>
      </c>
    </row>
    <row r="17" spans="1:17" ht="14.65" customHeight="1">
      <c r="A17" s="130"/>
      <c r="C17" s="37"/>
      <c r="D17" s="86" t="s">
        <v>1157</v>
      </c>
      <c r="E17" s="133"/>
      <c r="F17" s="323"/>
      <c r="G17" s="53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4">
        <v>14</v>
      </c>
    </row>
    <row r="18" spans="1:17" s="4267" customFormat="1" ht="21.95" customHeight="1">
      <c r="A18" s="281"/>
      <c r="B18" s="85"/>
      <c r="C18" s="245"/>
      <c r="D18" s="285"/>
      <c r="E18" s="287" t="s">
        <v>1210</v>
      </c>
      <c r="F18" s="276"/>
      <c r="G18" s="5379"/>
      <c r="I18" s="288"/>
      <c r="J18" s="288"/>
      <c r="Q18" s="280">
        <v>21</v>
      </c>
    </row>
    <row r="19" spans="1:17" s="4267" customFormat="1" ht="256.5" hidden="1" customHeight="1">
      <c r="A19" s="281"/>
      <c r="B19" s="355"/>
      <c r="C19" s="314"/>
      <c r="D19" s="811" t="s">
        <v>1117</v>
      </c>
      <c r="E19" s="810" t="s">
        <v>1211</v>
      </c>
      <c r="F19" s="323"/>
      <c r="G19" s="275" t="s">
        <v>1212</v>
      </c>
      <c r="I19" s="438"/>
      <c r="J19" s="438"/>
      <c r="Q19" s="694">
        <v>0</v>
      </c>
    </row>
    <row r="20" spans="1:17" s="4267" customFormat="1" ht="14.65" customHeight="1">
      <c r="A20" s="281"/>
      <c r="B20" s="85"/>
      <c r="C20" s="245"/>
      <c r="D20" s="812">
        <v>2</v>
      </c>
      <c r="E20" s="268" t="s">
        <v>1213</v>
      </c>
      <c r="F20" s="136" t="s">
        <v>399</v>
      </c>
      <c r="G20" s="275"/>
      <c r="I20" s="288"/>
      <c r="J20" s="288"/>
      <c r="Q20" s="280">
        <v>14</v>
      </c>
    </row>
    <row r="21" spans="1:17" s="4267" customFormat="1" ht="18.75" hidden="1" customHeight="1">
      <c r="A21" s="281"/>
      <c r="B21" s="85"/>
      <c r="C21" s="245"/>
      <c r="D21" s="271" t="s">
        <v>728</v>
      </c>
      <c r="E21" s="270"/>
      <c r="F21" s="269"/>
      <c r="G21" s="279"/>
      <c r="H21" s="272"/>
      <c r="I21" s="288"/>
      <c r="J21" s="288"/>
      <c r="Q21" s="280">
        <v>0</v>
      </c>
    </row>
    <row r="22" spans="1:17" ht="15.75" customHeight="1">
      <c r="A22" s="130"/>
      <c r="C22" s="37"/>
      <c r="D22" s="50"/>
      <c r="E22" s="141" t="s">
        <v>415</v>
      </c>
      <c r="F22" s="276"/>
      <c r="G22" s="277"/>
      <c r="Q22" s="24">
        <v>15</v>
      </c>
    </row>
    <row r="23" spans="1:17" s="4267" customFormat="1" ht="22.5" hidden="1" customHeight="1">
      <c r="A23" s="281"/>
      <c r="B23" s="1081"/>
      <c r="C23" s="314"/>
      <c r="D23" s="1594" t="s">
        <v>103</v>
      </c>
      <c r="E23" s="135" t="s">
        <v>1214</v>
      </c>
      <c r="F23" s="1591" t="s">
        <v>399</v>
      </c>
      <c r="G23" s="283"/>
      <c r="I23" s="1545"/>
      <c r="J23" s="1545"/>
      <c r="Q23" s="1552">
        <v>0</v>
      </c>
    </row>
    <row r="24" spans="1:17" s="4267" customFormat="1" ht="14.25" hidden="1" customHeight="1">
      <c r="A24" s="281"/>
      <c r="B24" s="1081"/>
      <c r="C24" s="314"/>
      <c r="D24" s="1594" t="s">
        <v>800</v>
      </c>
      <c r="E24" s="1593" t="s">
        <v>1215</v>
      </c>
      <c r="F24" s="1591" t="s">
        <v>399</v>
      </c>
      <c r="G24" s="275"/>
      <c r="I24" s="1545"/>
      <c r="J24" s="1545"/>
      <c r="Q24" s="1552">
        <v>0</v>
      </c>
    </row>
    <row r="25" spans="1:17" s="4267" customFormat="1" ht="14.25" hidden="1" customHeight="1">
      <c r="A25" s="281"/>
      <c r="B25" s="1081"/>
      <c r="C25" s="314"/>
      <c r="D25" s="1594" t="s">
        <v>803</v>
      </c>
      <c r="E25" s="133"/>
      <c r="F25" s="323"/>
      <c r="G25" s="5377" t="s">
        <v>1216</v>
      </c>
      <c r="I25" s="1545"/>
      <c r="J25" s="1545"/>
      <c r="Q25" s="1552">
        <v>0</v>
      </c>
    </row>
    <row r="26" spans="1:17" s="4267" customFormat="1" ht="22.5" hidden="1" customHeight="1">
      <c r="A26" s="281"/>
      <c r="B26" s="1081"/>
      <c r="C26" s="314"/>
      <c r="D26" s="285"/>
      <c r="E26" s="287" t="s">
        <v>1217</v>
      </c>
      <c r="F26" s="276"/>
      <c r="G26" s="5379"/>
      <c r="I26" s="1545"/>
      <c r="J26" s="1545"/>
      <c r="Q26" s="1552">
        <v>0</v>
      </c>
    </row>
    <row r="27" spans="1:17" ht="3" customHeight="1">
      <c r="Q27" s="24">
        <v>3</v>
      </c>
    </row>
    <row r="28" spans="1:17" ht="14.65" customHeight="1">
      <c r="D28" s="274"/>
      <c r="E28" s="273"/>
      <c r="F28" s="253"/>
      <c r="G28" s="253"/>
      <c r="H28" s="253"/>
      <c r="I28" s="253"/>
      <c r="J28" s="253"/>
      <c r="K28" s="253"/>
      <c r="L28" s="253"/>
      <c r="M28" s="253"/>
      <c r="N28" s="253"/>
      <c r="O28" s="253"/>
      <c r="P28" s="253"/>
      <c r="Q28" s="24">
        <v>14</v>
      </c>
    </row>
    <row r="29" spans="1:17" ht="14.65" customHeight="1">
      <c r="D29" s="274"/>
      <c r="E29" s="520"/>
      <c r="Q29" s="24">
        <v>14</v>
      </c>
    </row>
    <row r="30" spans="1:17" ht="14.65" customHeight="1">
      <c r="Q30" s="24">
        <v>14</v>
      </c>
    </row>
    <row r="31" spans="1:17" ht="14.65" customHeight="1">
      <c r="E31" s="694"/>
      <c r="Q31" s="24">
        <v>14</v>
      </c>
    </row>
    <row r="32" spans="1:17" ht="22.5" hidden="1" customHeight="1">
      <c r="A32" s="42" t="s">
        <v>82</v>
      </c>
      <c r="B32" s="85">
        <v>0</v>
      </c>
      <c r="C32" s="38">
        <v>3</v>
      </c>
      <c r="D32" s="24">
        <v>6</v>
      </c>
      <c r="E32" s="24">
        <v>64</v>
      </c>
      <c r="F32" s="24">
        <v>64</v>
      </c>
      <c r="G32" s="24">
        <v>140</v>
      </c>
      <c r="H32" s="24">
        <v>10</v>
      </c>
      <c r="I32" s="94">
        <v>10</v>
      </c>
      <c r="J32" s="94">
        <v>10</v>
      </c>
      <c r="K32" s="24">
        <v>10</v>
      </c>
      <c r="L32" s="24">
        <v>10</v>
      </c>
      <c r="M32" s="24">
        <v>10</v>
      </c>
      <c r="N32" s="24">
        <v>10</v>
      </c>
      <c r="O32" s="24">
        <v>10</v>
      </c>
      <c r="P32" s="24">
        <v>10</v>
      </c>
      <c r="Q32" s="24">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4301" hidden="1" customWidth="1"/>
    <col min="2" max="2" width="9.140625" style="4274" hidden="1" customWidth="1"/>
    <col min="3" max="3" width="3" style="4303" customWidth="1"/>
    <col min="4" max="4" width="6" style="4267" customWidth="1"/>
    <col min="5" max="5" width="63" style="4267" customWidth="1"/>
    <col min="6" max="6" width="1.7109375" style="4267" hidden="1" customWidth="1"/>
    <col min="7" max="8" width="35" style="4267" customWidth="1"/>
    <col min="9" max="9" width="91" style="4267" customWidth="1"/>
    <col min="10" max="10" width="68" style="4267" customWidth="1"/>
    <col min="11" max="12" width="10" style="4281" customWidth="1"/>
    <col min="13" max="13" width="10.5703125" style="4267" hidden="1"/>
  </cols>
  <sheetData>
    <row r="1" spans="1:13" ht="22.5" hidden="1" customHeight="1">
      <c r="M1" s="24" t="s">
        <v>14</v>
      </c>
    </row>
    <row r="2" spans="1:13" s="4267" customFormat="1" ht="18.75" hidden="1" customHeight="1">
      <c r="A2" s="1604"/>
      <c r="B2" s="1081"/>
      <c r="C2" s="1650" t="s">
        <v>104</v>
      </c>
      <c r="D2" s="1594"/>
      <c r="E2" s="137"/>
      <c r="F2" s="1591"/>
      <c r="G2" s="1591" t="s">
        <v>399</v>
      </c>
      <c r="H2" s="1082"/>
      <c r="K2" s="1545"/>
      <c r="L2" s="1545"/>
      <c r="M2" s="1552">
        <v>0</v>
      </c>
    </row>
    <row r="3" spans="1:13" s="4267" customFormat="1" ht="14.25" hidden="1" customHeight="1">
      <c r="A3" s="1283"/>
      <c r="B3" s="1081"/>
      <c r="C3" s="282"/>
      <c r="K3" s="1545"/>
      <c r="L3" s="1545"/>
      <c r="M3" s="1552">
        <v>0</v>
      </c>
    </row>
    <row r="4" spans="1:13" s="4267" customFormat="1" ht="18.75" hidden="1" customHeight="1">
      <c r="A4" s="1604"/>
      <c r="B4" s="1081"/>
      <c r="C4" s="1650" t="s">
        <v>104</v>
      </c>
      <c r="D4" s="1594"/>
      <c r="E4" s="143" t="s">
        <v>1218</v>
      </c>
      <c r="F4" s="1591"/>
      <c r="G4" s="195"/>
      <c r="H4" s="1591" t="s">
        <v>399</v>
      </c>
      <c r="K4" s="1545"/>
      <c r="L4" s="1545"/>
      <c r="M4" s="1552">
        <v>0</v>
      </c>
    </row>
    <row r="5" spans="1:13" s="4267" customFormat="1" ht="14.25" hidden="1" customHeight="1">
      <c r="A5" s="1283"/>
      <c r="B5" s="1081"/>
      <c r="C5" s="282"/>
      <c r="K5" s="1545"/>
      <c r="L5" s="1545"/>
      <c r="M5" s="1552">
        <v>0</v>
      </c>
    </row>
    <row r="6" spans="1:13" s="4267" customFormat="1" ht="18.75" hidden="1" customHeight="1">
      <c r="A6" s="1604"/>
      <c r="B6" s="1081"/>
      <c r="C6" s="1650" t="s">
        <v>104</v>
      </c>
      <c r="D6" s="1594"/>
      <c r="E6" s="144" t="s">
        <v>1219</v>
      </c>
      <c r="F6" s="1591"/>
      <c r="G6" s="195"/>
      <c r="H6" s="1591" t="s">
        <v>399</v>
      </c>
      <c r="K6" s="1545"/>
      <c r="L6" s="1545"/>
      <c r="M6" s="1552">
        <v>0</v>
      </c>
    </row>
    <row r="7" spans="1:13" s="4267" customFormat="1" ht="14.25" hidden="1" customHeight="1">
      <c r="A7" s="1283"/>
      <c r="B7" s="1081"/>
      <c r="C7" s="282"/>
      <c r="K7" s="1545"/>
      <c r="L7" s="1545"/>
      <c r="M7" s="1552">
        <v>0</v>
      </c>
    </row>
    <row r="8" spans="1:13" s="4267" customFormat="1" ht="18.75" hidden="1" customHeight="1">
      <c r="A8" s="1604"/>
      <c r="B8" s="1081"/>
      <c r="C8" s="1650" t="s">
        <v>104</v>
      </c>
      <c r="D8" s="1594"/>
      <c r="E8" s="144" t="s">
        <v>1220</v>
      </c>
      <c r="F8" s="1591"/>
      <c r="G8" s="195"/>
      <c r="H8" s="1591" t="s">
        <v>399</v>
      </c>
      <c r="K8" s="1545"/>
      <c r="L8" s="1545"/>
      <c r="M8" s="1552">
        <v>0</v>
      </c>
    </row>
    <row r="9" spans="1:13" s="4267" customFormat="1" ht="14.25" hidden="1" customHeight="1">
      <c r="A9" s="1283"/>
      <c r="B9" s="1081"/>
      <c r="C9" s="282"/>
      <c r="K9" s="1545"/>
      <c r="L9" s="1545"/>
      <c r="M9" s="1552">
        <v>0</v>
      </c>
    </row>
    <row r="10" spans="1:13" s="4267" customFormat="1" ht="18.75" hidden="1" customHeight="1">
      <c r="A10" s="1604"/>
      <c r="B10" s="1081"/>
      <c r="C10" s="1650" t="s">
        <v>104</v>
      </c>
      <c r="D10" s="1594"/>
      <c r="E10" s="144" t="s">
        <v>1221</v>
      </c>
      <c r="F10" s="1591"/>
      <c r="G10" s="1595"/>
      <c r="H10" s="1591" t="s">
        <v>399</v>
      </c>
      <c r="K10" s="1545"/>
      <c r="L10" s="1545" t="s">
        <v>1222</v>
      </c>
      <c r="M10" s="1552">
        <v>0</v>
      </c>
    </row>
    <row r="11" spans="1:13" ht="14.25" hidden="1" customHeight="1">
      <c r="M11" s="24">
        <v>0</v>
      </c>
    </row>
    <row r="12" spans="1:13" ht="14.25" hidden="1" customHeight="1">
      <c r="M12" s="24">
        <v>0</v>
      </c>
    </row>
    <row r="13" spans="1:13" ht="14.65" customHeight="1">
      <c r="C13" s="37"/>
      <c r="D13" s="25"/>
      <c r="E13" s="25"/>
      <c r="F13" s="25"/>
      <c r="G13" s="25"/>
      <c r="H13" s="26"/>
      <c r="I13" s="26"/>
      <c r="M13" s="24">
        <v>14</v>
      </c>
    </row>
    <row r="14" spans="1:13" ht="29.25" customHeight="1">
      <c r="C14" s="37"/>
      <c r="D14" s="538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5384"/>
      <c r="F14" s="5384"/>
      <c r="G14" s="5384"/>
      <c r="H14" s="5385"/>
      <c r="J14" s="1552"/>
      <c r="M14" s="24">
        <v>28</v>
      </c>
    </row>
    <row r="15" spans="1:13" s="4267" customFormat="1" ht="14.65" customHeight="1">
      <c r="A15" s="1283"/>
      <c r="B15" s="1081"/>
      <c r="C15" s="314"/>
      <c r="D15" s="5445" t="str">
        <f>IF(org=0,"Не определено",org)</f>
        <v>КГУП "Примтеплоэнерго"</v>
      </c>
      <c r="E15" s="5446"/>
      <c r="F15" s="5446"/>
      <c r="G15" s="5446"/>
      <c r="H15" s="5447"/>
      <c r="J15" s="780"/>
      <c r="K15" s="1545"/>
      <c r="L15" s="1545"/>
      <c r="M15" s="1552">
        <v>14</v>
      </c>
    </row>
    <row r="16" spans="1:13" ht="14.65" customHeight="1">
      <c r="C16" s="37"/>
      <c r="D16" s="25"/>
      <c r="E16" s="36"/>
      <c r="F16" s="36"/>
      <c r="G16" s="36"/>
      <c r="H16" s="690"/>
      <c r="I16" s="131"/>
      <c r="M16" s="24">
        <v>14</v>
      </c>
    </row>
    <row r="17" spans="1:13" s="4267" customFormat="1" ht="14.25" hidden="1" customHeight="1">
      <c r="A17" s="1283"/>
      <c r="B17" s="1081"/>
      <c r="C17" s="314"/>
      <c r="D17" s="301"/>
      <c r="E17" s="327"/>
      <c r="F17" s="327"/>
      <c r="G17" s="327"/>
      <c r="H17" s="690"/>
      <c r="I17" s="131"/>
      <c r="K17" s="1545"/>
      <c r="L17" s="1545"/>
      <c r="M17" s="1552">
        <v>0</v>
      </c>
    </row>
    <row r="18" spans="1:13" ht="21.95" customHeight="1">
      <c r="C18" s="37"/>
      <c r="D18" s="5431" t="s">
        <v>393</v>
      </c>
      <c r="E18" s="5431"/>
      <c r="F18" s="5431"/>
      <c r="G18" s="5431"/>
      <c r="H18" s="5431"/>
      <c r="I18" s="5576" t="s">
        <v>394</v>
      </c>
      <c r="M18" s="24">
        <v>21</v>
      </c>
    </row>
    <row r="19" spans="1:13" ht="21.95" customHeight="1">
      <c r="C19" s="37"/>
      <c r="D19" s="46" t="s">
        <v>88</v>
      </c>
      <c r="E19" s="49" t="s">
        <v>395</v>
      </c>
      <c r="F19" s="49"/>
      <c r="G19" s="49" t="s">
        <v>396</v>
      </c>
      <c r="H19" s="49" t="s">
        <v>483</v>
      </c>
      <c r="I19" s="5576"/>
      <c r="M19" s="24">
        <v>21</v>
      </c>
    </row>
    <row r="20" spans="1:13" ht="12" hidden="1" customHeight="1">
      <c r="C20" s="37"/>
      <c r="D20" s="28"/>
      <c r="E20" s="28"/>
      <c r="F20" s="28"/>
      <c r="G20" s="28"/>
      <c r="H20" s="28"/>
      <c r="I20" s="28"/>
      <c r="M20" s="24">
        <v>0</v>
      </c>
    </row>
    <row r="21" spans="1:13" ht="14.65" customHeight="1">
      <c r="A21" s="1604"/>
      <c r="C21" s="37"/>
      <c r="D21" s="86">
        <v>1</v>
      </c>
      <c r="E21" s="5626" t="s">
        <v>1223</v>
      </c>
      <c r="F21" s="5626"/>
      <c r="G21" s="5626"/>
      <c r="H21" s="5626"/>
      <c r="I21" s="146"/>
      <c r="M21" s="24">
        <v>14</v>
      </c>
    </row>
    <row r="22" spans="1:13" ht="21" customHeight="1">
      <c r="A22" s="1604"/>
      <c r="C22" s="37"/>
      <c r="D22" s="86" t="s">
        <v>1113</v>
      </c>
      <c r="E22" s="132" t="s">
        <v>1224</v>
      </c>
      <c r="F22" s="136"/>
      <c r="G22" s="1657"/>
      <c r="H22" s="136" t="s">
        <v>399</v>
      </c>
      <c r="I22" s="90" t="s">
        <v>1225</v>
      </c>
      <c r="M22" s="24">
        <v>20</v>
      </c>
    </row>
    <row r="23" spans="1:13" ht="60" customHeight="1">
      <c r="A23" s="1604"/>
      <c r="C23" s="37"/>
      <c r="D23" s="86" t="s">
        <v>1115</v>
      </c>
      <c r="E23" s="132" t="s">
        <v>1226</v>
      </c>
      <c r="F23" s="136"/>
      <c r="G23" s="195"/>
      <c r="H23" s="151"/>
      <c r="I23" s="196" t="s">
        <v>1227</v>
      </c>
      <c r="M23" s="24">
        <v>57</v>
      </c>
    </row>
    <row r="24" spans="1:13" ht="14.65" customHeight="1">
      <c r="A24" s="1604"/>
      <c r="B24" s="85">
        <v>3</v>
      </c>
      <c r="C24" s="37"/>
      <c r="D24" s="86">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399</v>
      </c>
      <c r="H24" s="151"/>
      <c r="I24" s="197" t="s">
        <v>723</v>
      </c>
      <c r="M24" s="24">
        <v>14</v>
      </c>
    </row>
    <row r="25" spans="1:13" ht="48.2" customHeight="1">
      <c r="A25" s="1604"/>
      <c r="C25" s="37"/>
      <c r="D25" s="86">
        <v>3</v>
      </c>
      <c r="E25" s="562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5626"/>
      <c r="G25" s="5626"/>
      <c r="H25" s="5626"/>
      <c r="I25" s="194"/>
      <c r="M25" s="24">
        <v>46</v>
      </c>
    </row>
    <row r="26" spans="1:13" ht="14.65" customHeight="1">
      <c r="A26" s="1604"/>
      <c r="C26" s="37"/>
      <c r="D26" s="86" t="s">
        <v>417</v>
      </c>
      <c r="E26" s="137"/>
      <c r="F26" s="136"/>
      <c r="G26" s="136" t="s">
        <v>399</v>
      </c>
      <c r="H26" s="151"/>
      <c r="I26" s="5377" t="s">
        <v>1228</v>
      </c>
      <c r="M26" s="24">
        <v>14</v>
      </c>
    </row>
    <row r="27" spans="1:13" ht="15.75" customHeight="1">
      <c r="A27" s="1604" t="s">
        <v>136</v>
      </c>
      <c r="C27" s="37"/>
      <c r="D27" s="50"/>
      <c r="E27" s="141" t="s">
        <v>415</v>
      </c>
      <c r="F27" s="142"/>
      <c r="G27" s="142"/>
      <c r="H27" s="139"/>
      <c r="I27" s="5379"/>
      <c r="M27" s="24">
        <v>15</v>
      </c>
    </row>
    <row r="28" spans="1:13" ht="39.75" customHeight="1">
      <c r="A28" s="1604"/>
      <c r="B28" s="85">
        <v>3</v>
      </c>
      <c r="C28" s="37"/>
      <c r="D28" s="86">
        <v>4</v>
      </c>
      <c r="E28" s="562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5626"/>
      <c r="G28" s="5626"/>
      <c r="H28" s="5626"/>
      <c r="I28" s="194"/>
      <c r="M28" s="24">
        <v>38</v>
      </c>
    </row>
    <row r="29" spans="1:13" ht="21" customHeight="1">
      <c r="A29" s="1604"/>
      <c r="C29" s="37"/>
      <c r="D29" s="86" t="s">
        <v>845</v>
      </c>
      <c r="E29" s="143" t="s">
        <v>1218</v>
      </c>
      <c r="F29" s="136"/>
      <c r="G29" s="195"/>
      <c r="H29" s="136" t="s">
        <v>399</v>
      </c>
      <c r="I29" s="5377" t="s">
        <v>1229</v>
      </c>
      <c r="M29" s="24">
        <v>20</v>
      </c>
    </row>
    <row r="30" spans="1:13" ht="15.75" customHeight="1">
      <c r="A30" s="1604" t="s">
        <v>103</v>
      </c>
      <c r="C30" s="37"/>
      <c r="D30" s="50"/>
      <c r="E30" s="141" t="s">
        <v>415</v>
      </c>
      <c r="F30" s="142"/>
      <c r="G30" s="142"/>
      <c r="H30" s="139"/>
      <c r="I30" s="5379"/>
      <c r="M30" s="24">
        <v>15</v>
      </c>
    </row>
    <row r="31" spans="1:13" ht="31.5" customHeight="1">
      <c r="A31" s="1604"/>
      <c r="B31" s="85">
        <v>3</v>
      </c>
      <c r="C31" s="37"/>
      <c r="D31" s="86">
        <v>5</v>
      </c>
      <c r="E31" s="562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5626"/>
      <c r="G31" s="5626"/>
      <c r="H31" s="5626"/>
      <c r="I31" s="194"/>
      <c r="M31" s="24">
        <v>30</v>
      </c>
    </row>
    <row r="32" spans="1:13" ht="27.4" customHeight="1">
      <c r="A32" s="1604"/>
      <c r="C32" s="37"/>
      <c r="D32" s="86" t="s">
        <v>406</v>
      </c>
      <c r="E32" s="558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5589"/>
      <c r="G32" s="5589"/>
      <c r="H32" s="5589"/>
      <c r="I32" s="194"/>
      <c r="M32" s="24">
        <v>26</v>
      </c>
    </row>
    <row r="33" spans="1:13" ht="14.65" customHeight="1">
      <c r="A33" s="1604"/>
      <c r="C33" s="37"/>
      <c r="D33" s="86" t="s">
        <v>1230</v>
      </c>
      <c r="E33" s="144" t="s">
        <v>1219</v>
      </c>
      <c r="F33" s="136"/>
      <c r="G33" s="195"/>
      <c r="H33" s="136" t="s">
        <v>399</v>
      </c>
      <c r="I33" s="5377" t="s">
        <v>1231</v>
      </c>
      <c r="M33" s="24">
        <v>14</v>
      </c>
    </row>
    <row r="34" spans="1:13" ht="15.75" customHeight="1">
      <c r="A34" s="1604" t="s">
        <v>90</v>
      </c>
      <c r="C34" s="37"/>
      <c r="D34" s="50"/>
      <c r="E34" s="142" t="s">
        <v>415</v>
      </c>
      <c r="F34" s="138"/>
      <c r="G34" s="138"/>
      <c r="H34" s="139"/>
      <c r="I34" s="5379"/>
      <c r="M34" s="24">
        <v>15</v>
      </c>
    </row>
    <row r="35" spans="1:13" ht="25.15" customHeight="1">
      <c r="A35" s="1604"/>
      <c r="C35" s="37"/>
      <c r="D35" s="86" t="s">
        <v>973</v>
      </c>
      <c r="E35" s="558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5589"/>
      <c r="G35" s="5589"/>
      <c r="H35" s="5589"/>
      <c r="I35" s="194"/>
      <c r="M35" s="24">
        <v>24</v>
      </c>
    </row>
    <row r="36" spans="1:13" ht="14.65" customHeight="1">
      <c r="A36" s="1604"/>
      <c r="C36" s="37"/>
      <c r="D36" s="86" t="s">
        <v>1232</v>
      </c>
      <c r="E36" s="144" t="s">
        <v>1220</v>
      </c>
      <c r="F36" s="136"/>
      <c r="G36" s="195"/>
      <c r="H36" s="136" t="s">
        <v>399</v>
      </c>
      <c r="I36" s="5350" t="s">
        <v>1233</v>
      </c>
      <c r="M36" s="24">
        <v>14</v>
      </c>
    </row>
    <row r="37" spans="1:13" ht="15.75" customHeight="1">
      <c r="A37" s="1604" t="s">
        <v>91</v>
      </c>
      <c r="C37" s="37"/>
      <c r="D37" s="50"/>
      <c r="E37" s="142" t="s">
        <v>415</v>
      </c>
      <c r="F37" s="138"/>
      <c r="G37" s="138"/>
      <c r="H37" s="139"/>
      <c r="I37" s="5350"/>
      <c r="M37" s="24">
        <v>15</v>
      </c>
    </row>
    <row r="38" spans="1:13" ht="27.4" customHeight="1">
      <c r="A38" s="1604"/>
      <c r="C38" s="37"/>
      <c r="D38" s="86" t="s">
        <v>974</v>
      </c>
      <c r="E38" s="558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5589"/>
      <c r="G38" s="5589"/>
      <c r="H38" s="5589"/>
      <c r="I38" s="194"/>
      <c r="M38" s="24">
        <v>26</v>
      </c>
    </row>
    <row r="39" spans="1:13" ht="14.65" customHeight="1">
      <c r="A39" s="1604"/>
      <c r="C39" s="37"/>
      <c r="D39" s="86" t="s">
        <v>975</v>
      </c>
      <c r="E39" s="144" t="s">
        <v>1221</v>
      </c>
      <c r="F39" s="136"/>
      <c r="G39" s="145"/>
      <c r="H39" s="136" t="s">
        <v>399</v>
      </c>
      <c r="I39" s="5377" t="s">
        <v>1234</v>
      </c>
      <c r="L39" s="94" t="s">
        <v>1222</v>
      </c>
      <c r="M39" s="24">
        <v>14</v>
      </c>
    </row>
    <row r="40" spans="1:13" ht="15.75" customHeight="1">
      <c r="A40" s="1604" t="s">
        <v>116</v>
      </c>
      <c r="C40" s="37"/>
      <c r="D40" s="50"/>
      <c r="E40" s="142" t="s">
        <v>415</v>
      </c>
      <c r="F40" s="138"/>
      <c r="G40" s="138"/>
      <c r="H40" s="139"/>
      <c r="I40" s="5379"/>
      <c r="M40" s="24">
        <v>15</v>
      </c>
    </row>
    <row r="41" spans="1:13" s="5268" customFormat="1" ht="3" customHeight="1">
      <c r="A41" s="1604"/>
      <c r="K41" s="134"/>
      <c r="L41" s="134"/>
      <c r="M41" s="80">
        <v>3</v>
      </c>
    </row>
    <row r="42" spans="1:13" ht="26.25" customHeight="1">
      <c r="D42" s="1602" t="s">
        <v>895</v>
      </c>
      <c r="E42" s="546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5468"/>
      <c r="G42" s="5468"/>
      <c r="H42" s="5468"/>
      <c r="I42" s="5468"/>
      <c r="M42" s="24">
        <v>25</v>
      </c>
    </row>
    <row r="43" spans="1:13" ht="22.5" hidden="1" customHeight="1">
      <c r="A43" s="1283" t="s">
        <v>82</v>
      </c>
      <c r="B43" s="85">
        <v>0</v>
      </c>
      <c r="C43" s="38">
        <v>3</v>
      </c>
      <c r="D43" s="24">
        <v>6</v>
      </c>
      <c r="E43" s="24">
        <v>63</v>
      </c>
      <c r="F43" s="24">
        <v>0</v>
      </c>
      <c r="G43" s="24">
        <v>35</v>
      </c>
      <c r="H43" s="24">
        <v>35</v>
      </c>
      <c r="I43" s="24">
        <v>91</v>
      </c>
      <c r="J43" s="24">
        <v>68</v>
      </c>
      <c r="K43" s="94">
        <v>10</v>
      </c>
      <c r="L43" s="94">
        <v>10</v>
      </c>
      <c r="M43" s="24">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8"/>
  <sheetViews>
    <sheetView showGridLines="0" topLeftCell="D13" zoomScale="90" workbookViewId="0">
      <selection activeCell="F337" sqref="F337:M337"/>
    </sheetView>
  </sheetViews>
  <sheetFormatPr defaultColWidth="10.5703125" defaultRowHeight="14.25" customHeight="1"/>
  <cols>
    <col min="1" max="2" width="25.140625" style="5269" hidden="1" customWidth="1"/>
    <col min="3" max="3" width="9.140625" style="5270" hidden="1" customWidth="1"/>
    <col min="4" max="4" width="3" style="4303" customWidth="1"/>
    <col min="5" max="5" width="6" style="4267" customWidth="1"/>
    <col min="6" max="6" width="46.7109375" style="4267" customWidth="1"/>
    <col min="7" max="7" width="35" style="4267" customWidth="1"/>
    <col min="8" max="8" width="3" style="4267" customWidth="1"/>
    <col min="9" max="10" width="11" style="4267" customWidth="1"/>
    <col min="11" max="12" width="35" style="4267" customWidth="1"/>
    <col min="13" max="13" width="84" style="4267" customWidth="1"/>
    <col min="14" max="14" width="10" style="4267" customWidth="1"/>
    <col min="15" max="16" width="10" style="4281" customWidth="1"/>
    <col min="17" max="33" width="10" style="4267" customWidth="1"/>
    <col min="34" max="34" width="10.5703125" style="4267" hidden="1"/>
  </cols>
  <sheetData>
    <row r="1" spans="1:34" s="4267" customFormat="1" ht="22.5" hidden="1" customHeight="1">
      <c r="A1" s="1699"/>
      <c r="B1" s="1699"/>
      <c r="C1" s="307"/>
      <c r="D1" s="282"/>
      <c r="N1" s="1557">
        <f>IFERROR(MATCH("метод экономически обоснованных расходов (затрат)",OFFER_METHOD,0),0)</f>
        <v>0</v>
      </c>
      <c r="O1" s="1545"/>
      <c r="P1" s="1545"/>
      <c r="T1" s="763"/>
      <c r="AG1" s="193"/>
      <c r="AH1" s="1552" t="s">
        <v>14</v>
      </c>
    </row>
    <row r="2" spans="1:34" s="4267" customFormat="1" ht="18.75" hidden="1" customHeight="1">
      <c r="A2" s="1700" t="s">
        <v>186</v>
      </c>
      <c r="B2" s="1700" t="s">
        <v>187</v>
      </c>
      <c r="C2" s="307"/>
      <c r="D2" s="282"/>
      <c r="E2" s="956"/>
      <c r="F2" s="956"/>
      <c r="G2" s="5602" t="str">
        <f>INDEX(PT_DIFFERENTIATION_NTAR,MATCH(B2,PT_DIFFERENTIATION_NTAR_ID,0))</f>
        <v/>
      </c>
      <c r="H2" s="1782"/>
      <c r="I2" s="1659"/>
      <c r="J2" s="1693"/>
      <c r="K2" s="1783"/>
      <c r="L2" s="1782" t="s">
        <v>399</v>
      </c>
      <c r="M2" s="1793"/>
      <c r="N2" s="272"/>
      <c r="O2" s="1545"/>
      <c r="P2" s="1545"/>
      <c r="AH2" s="1552">
        <v>0</v>
      </c>
    </row>
    <row r="3" spans="1:34" s="4267" customFormat="1" ht="18.75" hidden="1" customHeight="1">
      <c r="A3" s="1700"/>
      <c r="B3" s="1700"/>
      <c r="C3" s="307" t="s">
        <v>1235</v>
      </c>
      <c r="D3" s="282"/>
      <c r="E3" s="956"/>
      <c r="F3" s="956"/>
      <c r="G3" s="5602"/>
      <c r="H3" s="1421"/>
      <c r="I3" s="589" t="s">
        <v>1236</v>
      </c>
      <c r="J3" s="509"/>
      <c r="K3" s="1421"/>
      <c r="L3" s="152"/>
      <c r="M3" s="1793"/>
      <c r="N3" s="272"/>
      <c r="O3" s="1545"/>
      <c r="P3" s="1545"/>
      <c r="AH3" s="1552">
        <v>0</v>
      </c>
    </row>
    <row r="4" spans="1:34" s="4267" customFormat="1" ht="14.25" hidden="1" customHeight="1">
      <c r="A4" s="1699"/>
      <c r="B4" s="1699"/>
      <c r="C4" s="307"/>
      <c r="D4" s="282"/>
      <c r="N4" s="1557">
        <f>IFERROR(MATCH("метод экономически обоснованных расходов (затрат)",OFFER_METHOD,0),0)</f>
        <v>0</v>
      </c>
      <c r="O4" s="1545"/>
      <c r="P4" s="1545"/>
      <c r="T4" s="763"/>
      <c r="AG4" s="193"/>
      <c r="AH4" s="1552">
        <v>0</v>
      </c>
    </row>
    <row r="5" spans="1:34" s="4267" customFormat="1" ht="18.75" hidden="1" customHeight="1">
      <c r="A5" s="1700" t="s">
        <v>186</v>
      </c>
      <c r="B5" s="1700" t="s">
        <v>187</v>
      </c>
      <c r="C5" s="307"/>
      <c r="D5" s="282"/>
      <c r="E5" s="956"/>
      <c r="F5" s="956"/>
      <c r="G5" s="5602" t="str">
        <f>INDEX(PT_DIFFERENTIATION_NTAR,MATCH(B5,PT_DIFFERENTIATION_NTAR_ID,0))</f>
        <v/>
      </c>
      <c r="H5" s="1782"/>
      <c r="I5" s="1659"/>
      <c r="J5" s="1693"/>
      <c r="K5" s="1698"/>
      <c r="L5" s="1782" t="s">
        <v>399</v>
      </c>
      <c r="M5" s="1793"/>
      <c r="N5" s="272"/>
      <c r="O5" s="1545"/>
      <c r="P5" s="1545"/>
      <c r="AH5" s="1552">
        <v>0</v>
      </c>
    </row>
    <row r="6" spans="1:34" s="4267" customFormat="1" ht="18.75" hidden="1" customHeight="1">
      <c r="A6" s="1700"/>
      <c r="B6" s="1700"/>
      <c r="C6" s="307" t="s">
        <v>1237</v>
      </c>
      <c r="D6" s="282"/>
      <c r="E6" s="956"/>
      <c r="F6" s="956"/>
      <c r="G6" s="5602"/>
      <c r="H6" s="1421"/>
      <c r="I6" s="589" t="s">
        <v>1236</v>
      </c>
      <c r="J6" s="509"/>
      <c r="K6" s="1421"/>
      <c r="L6" s="152"/>
      <c r="M6" s="1793"/>
      <c r="N6" s="272"/>
      <c r="O6" s="1545"/>
      <c r="P6" s="1545"/>
      <c r="AH6" s="1552">
        <v>0</v>
      </c>
    </row>
    <row r="7" spans="1:34" s="4267" customFormat="1" ht="14.25" hidden="1" customHeight="1">
      <c r="A7" s="1699"/>
      <c r="B7" s="1699"/>
      <c r="C7" s="307"/>
      <c r="D7" s="282"/>
      <c r="N7" s="1557">
        <f>IFERROR(MATCH("метод экономически обоснованных расходов (затрат)",OFFER_METHOD,0),0)</f>
        <v>0</v>
      </c>
      <c r="O7" s="1545"/>
      <c r="P7" s="1545"/>
      <c r="T7" s="763"/>
      <c r="AG7" s="193"/>
      <c r="AH7" s="1552">
        <v>0</v>
      </c>
    </row>
    <row r="8" spans="1:34" s="4267" customFormat="1" ht="56.25" hidden="1" customHeight="1">
      <c r="A8" s="1700"/>
      <c r="B8" s="1700"/>
      <c r="C8" s="307"/>
      <c r="D8" s="282"/>
      <c r="E8" s="956"/>
      <c r="F8" s="956"/>
      <c r="G8" s="956"/>
      <c r="H8" s="1691"/>
      <c r="I8" s="1659"/>
      <c r="J8" s="1693"/>
      <c r="K8" s="1783"/>
      <c r="L8" s="1691" t="s">
        <v>399</v>
      </c>
      <c r="M8" s="1793"/>
      <c r="N8" s="272"/>
      <c r="O8" s="1545"/>
      <c r="P8" s="1545"/>
      <c r="AH8" s="1552">
        <v>0</v>
      </c>
    </row>
    <row r="9" spans="1:34" ht="14.25" hidden="1" customHeight="1">
      <c r="T9" s="335"/>
      <c r="AG9" s="193"/>
      <c r="AH9" s="312">
        <v>0</v>
      </c>
    </row>
    <row r="10" spans="1:34" s="4267" customFormat="1" ht="56.25" hidden="1" customHeight="1">
      <c r="A10" s="1700"/>
      <c r="B10" s="1700"/>
      <c r="C10" s="307"/>
      <c r="D10" s="282"/>
      <c r="E10" s="956"/>
      <c r="F10" s="956"/>
      <c r="G10" s="956"/>
      <c r="H10" s="1690"/>
      <c r="I10" s="1659"/>
      <c r="J10" s="1693"/>
      <c r="K10" s="1698"/>
      <c r="L10" s="1691" t="s">
        <v>399</v>
      </c>
      <c r="M10" s="1793"/>
      <c r="N10" s="272"/>
      <c r="O10" s="1545"/>
      <c r="P10" s="1545"/>
      <c r="AH10" s="1552">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6"/>
      <c r="M13" s="26"/>
      <c r="AH13" s="312">
        <v>6</v>
      </c>
    </row>
    <row r="14" spans="1:34" ht="14.65" customHeight="1">
      <c r="D14" s="314"/>
      <c r="E14" s="562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5628"/>
      <c r="G14" s="5628"/>
      <c r="H14" s="5628"/>
      <c r="I14" s="5628"/>
      <c r="J14" s="5628"/>
      <c r="K14" s="5628"/>
      <c r="L14" s="5628"/>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изменении тарифов</v>
      </c>
      <c r="G16" s="5461">
        <f>IF(TITLE_DATE_PR_CHANGE="",IF(TITLE_DATE_PR="","",TITLE_DATE_PR),TITLE_DATE_PR_CHANGE)</f>
        <v>45649.605891203704</v>
      </c>
      <c r="H16" s="5461"/>
      <c r="I16" s="5461"/>
      <c r="J16" s="5461"/>
      <c r="K16" s="5461"/>
      <c r="L16" s="5461"/>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изменении тарифов</v>
      </c>
      <c r="G17" s="5462" t="str">
        <f>IF(TITLE_NUMBER_PR_CHANGE="",IF(TITLE_NUMBER_PR="","",TITLE_NUMBER_PR),TITLE_NUMBER_PR_CHANGE)</f>
        <v>27-6414</v>
      </c>
      <c r="H17" s="5462"/>
      <c r="I17" s="5462"/>
      <c r="J17" s="5462"/>
      <c r="K17" s="5462"/>
      <c r="L17" s="5462"/>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5431" t="s">
        <v>393</v>
      </c>
      <c r="F19" s="5431"/>
      <c r="G19" s="5431"/>
      <c r="H19" s="5431"/>
      <c r="I19" s="5431"/>
      <c r="J19" s="5431"/>
      <c r="K19" s="5431"/>
      <c r="L19" s="5431"/>
      <c r="M19" s="5576" t="s">
        <v>394</v>
      </c>
      <c r="AH19" s="312">
        <v>21</v>
      </c>
    </row>
    <row r="20" spans="1:34" ht="21.95" customHeight="1">
      <c r="D20" s="314"/>
      <c r="E20" s="5486" t="s">
        <v>88</v>
      </c>
      <c r="F20" s="5437" t="s">
        <v>154</v>
      </c>
      <c r="G20" s="5437" t="s">
        <v>155</v>
      </c>
      <c r="H20" s="5573" t="s">
        <v>1238</v>
      </c>
      <c r="I20" s="5574"/>
      <c r="J20" s="5604"/>
      <c r="K20" s="5437" t="s">
        <v>396</v>
      </c>
      <c r="L20" s="5437" t="s">
        <v>483</v>
      </c>
      <c r="M20" s="5576"/>
      <c r="AH20" s="312">
        <v>21</v>
      </c>
    </row>
    <row r="21" spans="1:34" ht="21.95" customHeight="1">
      <c r="D21" s="314"/>
      <c r="E21" s="5488"/>
      <c r="F21" s="5438"/>
      <c r="G21" s="5438"/>
      <c r="H21" s="5436" t="s">
        <v>1239</v>
      </c>
      <c r="I21" s="5449"/>
      <c r="J21" s="49" t="s">
        <v>1240</v>
      </c>
      <c r="K21" s="5438"/>
      <c r="L21" s="5438"/>
      <c r="M21" s="5576"/>
      <c r="AH21" s="312">
        <v>21</v>
      </c>
    </row>
    <row r="22" spans="1:34" ht="12.75" customHeight="1">
      <c r="D22" s="314"/>
      <c r="E22" s="219"/>
      <c r="F22" s="219"/>
      <c r="G22" s="219"/>
      <c r="H22" s="5630"/>
      <c r="I22" s="5630"/>
      <c r="J22" s="219"/>
      <c r="K22" s="219"/>
      <c r="L22" s="219"/>
      <c r="M22" s="219"/>
      <c r="AH22" s="312">
        <v>12</v>
      </c>
    </row>
    <row r="23" spans="1:34" ht="19.899999999999999" customHeight="1">
      <c r="A23" s="1700"/>
      <c r="B23" s="1700"/>
      <c r="D23" s="314"/>
      <c r="E23" s="1784" t="s">
        <v>136</v>
      </c>
      <c r="F23" s="5631" t="str">
        <f>"Предлагаемый метод регулирования"&amp;IF(TEMPLATE_SPHERE="HEAT"," в сфере "&amp;TEMPLATE_SPHERE_RUS,"")</f>
        <v>Предлагаемый метод регулирования</v>
      </c>
      <c r="G23" s="5631"/>
      <c r="H23" s="5626"/>
      <c r="I23" s="5626"/>
      <c r="J23" s="5626"/>
      <c r="K23" s="5631" t="s">
        <v>399</v>
      </c>
      <c r="L23" s="5626"/>
      <c r="M23" s="1689"/>
      <c r="N23" s="272"/>
      <c r="AH23" s="312">
        <v>19</v>
      </c>
    </row>
    <row r="24" spans="1:34" ht="60.75" hidden="1" customHeight="1">
      <c r="A24" s="1700" t="s">
        <v>186</v>
      </c>
      <c r="B24" s="1700" t="s">
        <v>187</v>
      </c>
      <c r="D24" s="5629"/>
      <c r="E24" s="5426"/>
      <c r="F24" s="563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602" t="str">
        <f>INDEX(PT_DIFFERENTIATION_NTAR,MATCH(B24,PT_DIFFERENTIATION_NTAR_ID,0))</f>
        <v/>
      </c>
      <c r="H24" s="1780"/>
      <c r="I24" s="1659"/>
      <c r="J24" s="1693"/>
      <c r="K24" s="1783"/>
      <c r="L24" s="1688" t="s">
        <v>399</v>
      </c>
      <c r="M24" s="53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4267" customFormat="1" ht="18.75" hidden="1" customHeight="1">
      <c r="A25" s="1700"/>
      <c r="B25" s="1700"/>
      <c r="C25" s="307" t="s">
        <v>1235</v>
      </c>
      <c r="D25" s="5629"/>
      <c r="E25" s="5426"/>
      <c r="F25" s="5632"/>
      <c r="G25" s="5602"/>
      <c r="H25" s="1421"/>
      <c r="I25" s="589" t="s">
        <v>1236</v>
      </c>
      <c r="J25" s="509"/>
      <c r="K25" s="1421"/>
      <c r="L25" s="152"/>
      <c r="M25" s="5378"/>
      <c r="N25" s="272"/>
      <c r="O25" s="1545"/>
      <c r="P25" s="1545"/>
      <c r="AH25" s="1552">
        <v>0</v>
      </c>
    </row>
    <row r="26" spans="1:34" ht="0.75" hidden="1" customHeight="1">
      <c r="A26" s="1700"/>
      <c r="B26" s="1700"/>
      <c r="C26" s="307" t="s">
        <v>1241</v>
      </c>
      <c r="D26" s="5629"/>
      <c r="E26" s="5426"/>
      <c r="F26" s="5566"/>
      <c r="G26" s="338"/>
      <c r="H26" s="1421"/>
      <c r="I26" s="333"/>
      <c r="J26" s="287"/>
      <c r="K26" s="1421"/>
      <c r="L26" s="139"/>
      <c r="M26" s="5378"/>
      <c r="N26" s="272"/>
      <c r="AH26" s="312">
        <v>0</v>
      </c>
    </row>
    <row r="27" spans="1:34" s="4267" customFormat="1" ht="45" hidden="1" customHeight="1">
      <c r="A27" s="1700" t="s">
        <v>191</v>
      </c>
      <c r="B27" s="1700" t="s">
        <v>192</v>
      </c>
      <c r="C27" s="307"/>
      <c r="D27" s="5627"/>
      <c r="E27" s="5633"/>
      <c r="F27" s="5634" t="str">
        <f>INDEX(PT_DIFFERENTIATION_VTAR,MATCH(A27,PT_DIFFERENTIATION_VTAR_ID,0))</f>
        <v/>
      </c>
      <c r="G27" s="5602" t="str">
        <f>INDEX(PT_DIFFERENTIATION_NTAR,MATCH(B27,PT_DIFFERENTIATION_NTAR_ID,0))</f>
        <v/>
      </c>
      <c r="H27" s="1780"/>
      <c r="I27" s="1659"/>
      <c r="J27" s="1693"/>
      <c r="K27" s="1783"/>
      <c r="L27" s="1780" t="s">
        <v>399</v>
      </c>
      <c r="M27" s="5378"/>
      <c r="N27" s="272"/>
      <c r="O27" s="1545"/>
      <c r="P27" s="1545"/>
      <c r="AH27" s="1552">
        <v>0</v>
      </c>
    </row>
    <row r="28" spans="1:34" s="4267" customFormat="1" ht="18.75" hidden="1" customHeight="1">
      <c r="A28" s="1700"/>
      <c r="B28" s="1700"/>
      <c r="C28" s="307" t="s">
        <v>1235</v>
      </c>
      <c r="D28" s="5627"/>
      <c r="E28" s="5633"/>
      <c r="F28" s="5634"/>
      <c r="G28" s="5602"/>
      <c r="H28" s="1421"/>
      <c r="I28" s="589" t="s">
        <v>1236</v>
      </c>
      <c r="J28" s="509"/>
      <c r="K28" s="1421"/>
      <c r="L28" s="152"/>
      <c r="M28" s="5378"/>
      <c r="N28" s="272"/>
      <c r="O28" s="1545"/>
      <c r="P28" s="1545"/>
      <c r="AH28" s="1552">
        <v>0</v>
      </c>
    </row>
    <row r="29" spans="1:34" s="4267" customFormat="1" ht="0.75" hidden="1" customHeight="1">
      <c r="A29" s="1700"/>
      <c r="B29" s="1700"/>
      <c r="C29" s="307" t="s">
        <v>1241</v>
      </c>
      <c r="D29" s="5627"/>
      <c r="E29" s="5426"/>
      <c r="F29" s="5566"/>
      <c r="G29" s="338"/>
      <c r="H29" s="1421"/>
      <c r="I29" s="589"/>
      <c r="J29" s="509"/>
      <c r="K29" s="1421"/>
      <c r="L29" s="152"/>
      <c r="M29" s="5378"/>
      <c r="N29" s="272"/>
      <c r="O29" s="1545"/>
      <c r="P29" s="1545"/>
      <c r="AH29" s="1552">
        <v>0</v>
      </c>
    </row>
    <row r="30" spans="1:34" s="4267" customFormat="1" ht="45" hidden="1" customHeight="1">
      <c r="A30" s="1700" t="s">
        <v>198</v>
      </c>
      <c r="B30" s="1700" t="s">
        <v>199</v>
      </c>
      <c r="C30" s="307"/>
      <c r="D30" s="5627"/>
      <c r="E30" s="5426"/>
      <c r="F30" s="556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5602" t="str">
        <f>INDEX(PT_DIFFERENTIATION_NTAR,MATCH(B30,PT_DIFFERENTIATION_NTAR_ID,0))</f>
        <v/>
      </c>
      <c r="H30" s="1780"/>
      <c r="I30" s="1659"/>
      <c r="J30" s="1693"/>
      <c r="K30" s="1783"/>
      <c r="L30" s="1780" t="s">
        <v>399</v>
      </c>
      <c r="M30" s="5378"/>
      <c r="N30" s="272"/>
      <c r="O30" s="1545"/>
      <c r="P30" s="1545"/>
      <c r="AH30" s="1552">
        <v>0</v>
      </c>
    </row>
    <row r="31" spans="1:34" s="4267" customFormat="1" ht="18.75" hidden="1" customHeight="1">
      <c r="A31" s="1700"/>
      <c r="B31" s="1700"/>
      <c r="C31" s="307" t="s">
        <v>1235</v>
      </c>
      <c r="D31" s="5627"/>
      <c r="E31" s="5426"/>
      <c r="F31" s="5566"/>
      <c r="G31" s="5602"/>
      <c r="H31" s="1421"/>
      <c r="I31" s="589" t="s">
        <v>1236</v>
      </c>
      <c r="J31" s="509"/>
      <c r="K31" s="1421"/>
      <c r="L31" s="152"/>
      <c r="M31" s="5378"/>
      <c r="N31" s="272"/>
      <c r="O31" s="1545"/>
      <c r="P31" s="1545"/>
      <c r="AH31" s="1552">
        <v>0</v>
      </c>
    </row>
    <row r="32" spans="1:34" s="4267" customFormat="1" ht="0.75" hidden="1" customHeight="1">
      <c r="A32" s="1700"/>
      <c r="B32" s="1700"/>
      <c r="C32" s="307" t="s">
        <v>1241</v>
      </c>
      <c r="D32" s="5627"/>
      <c r="E32" s="5426"/>
      <c r="F32" s="5566"/>
      <c r="G32" s="338"/>
      <c r="H32" s="1421"/>
      <c r="I32" s="589"/>
      <c r="J32" s="509"/>
      <c r="K32" s="1421"/>
      <c r="L32" s="152"/>
      <c r="M32" s="5378"/>
      <c r="N32" s="272"/>
      <c r="O32" s="1545"/>
      <c r="P32" s="1545"/>
      <c r="AH32" s="1552">
        <v>0</v>
      </c>
    </row>
    <row r="33" spans="1:34" s="4267" customFormat="1" ht="45" hidden="1" customHeight="1">
      <c r="A33" s="1700" t="s">
        <v>204</v>
      </c>
      <c r="B33" s="1700" t="s">
        <v>205</v>
      </c>
      <c r="C33" s="307"/>
      <c r="D33" s="5627"/>
      <c r="E33" s="5426"/>
      <c r="F33" s="556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5602" t="str">
        <f>INDEX(PT_DIFFERENTIATION_NTAR,MATCH(B33,PT_DIFFERENTIATION_NTAR_ID,0))</f>
        <v/>
      </c>
      <c r="H33" s="1780"/>
      <c r="I33" s="1659"/>
      <c r="J33" s="1693"/>
      <c r="K33" s="1783"/>
      <c r="L33" s="1780" t="s">
        <v>399</v>
      </c>
      <c r="M33" s="5378"/>
      <c r="N33" s="272"/>
      <c r="O33" s="1545"/>
      <c r="P33" s="1545"/>
      <c r="AH33" s="1552">
        <v>0</v>
      </c>
    </row>
    <row r="34" spans="1:34" s="4267" customFormat="1" ht="18.75" hidden="1" customHeight="1">
      <c r="A34" s="1700"/>
      <c r="B34" s="1700"/>
      <c r="C34" s="307" t="s">
        <v>1235</v>
      </c>
      <c r="D34" s="5627"/>
      <c r="E34" s="5426"/>
      <c r="F34" s="5566"/>
      <c r="G34" s="5602"/>
      <c r="H34" s="1421"/>
      <c r="I34" s="589" t="s">
        <v>1236</v>
      </c>
      <c r="J34" s="509"/>
      <c r="K34" s="1421"/>
      <c r="L34" s="152"/>
      <c r="M34" s="5378"/>
      <c r="N34" s="272"/>
      <c r="O34" s="1545"/>
      <c r="P34" s="1545"/>
      <c r="AH34" s="1552">
        <v>0</v>
      </c>
    </row>
    <row r="35" spans="1:34" s="4267" customFormat="1" ht="0.75" hidden="1" customHeight="1">
      <c r="A35" s="1700"/>
      <c r="B35" s="1700"/>
      <c r="C35" s="307" t="s">
        <v>1241</v>
      </c>
      <c r="D35" s="5627"/>
      <c r="E35" s="5426"/>
      <c r="F35" s="5566"/>
      <c r="G35" s="338"/>
      <c r="H35" s="1421"/>
      <c r="I35" s="589"/>
      <c r="J35" s="509"/>
      <c r="K35" s="1421"/>
      <c r="L35" s="152"/>
      <c r="M35" s="5378"/>
      <c r="N35" s="272"/>
      <c r="O35" s="1545"/>
      <c r="P35" s="1545"/>
      <c r="AH35" s="1552">
        <v>0</v>
      </c>
    </row>
    <row r="36" spans="1:34" s="4267" customFormat="1" ht="18.75" hidden="1" customHeight="1">
      <c r="A36" s="1700" t="s">
        <v>210</v>
      </c>
      <c r="B36" s="1700" t="s">
        <v>211</v>
      </c>
      <c r="C36" s="307"/>
      <c r="D36" s="5627"/>
      <c r="E36" s="5426"/>
      <c r="F36" s="5566" t="str">
        <f>INDEX(PT_DIFFERENTIATION_VTAR,MATCH(A36,PT_DIFFERENTIATION_VTAR_ID,0))</f>
        <v>Тарифы на услуги по передаче тепловой энергии</v>
      </c>
      <c r="G36" s="5602" t="str">
        <f>INDEX(PT_DIFFERENTIATION_NTAR,MATCH(B36,PT_DIFFERENTIATION_NTAR_ID,0))</f>
        <v/>
      </c>
      <c r="H36" s="1780"/>
      <c r="I36" s="1659"/>
      <c r="J36" s="1693"/>
      <c r="K36" s="1783"/>
      <c r="L36" s="1780" t="s">
        <v>399</v>
      </c>
      <c r="M36" s="5378"/>
      <c r="N36" s="272"/>
      <c r="O36" s="1545"/>
      <c r="P36" s="1545"/>
      <c r="AH36" s="1552">
        <v>0</v>
      </c>
    </row>
    <row r="37" spans="1:34" s="4267" customFormat="1" ht="18.75" hidden="1" customHeight="1">
      <c r="A37" s="1700"/>
      <c r="B37" s="1700"/>
      <c r="C37" s="307" t="s">
        <v>1235</v>
      </c>
      <c r="D37" s="5627"/>
      <c r="E37" s="5426"/>
      <c r="F37" s="5566"/>
      <c r="G37" s="5602"/>
      <c r="H37" s="1421"/>
      <c r="I37" s="589" t="s">
        <v>1236</v>
      </c>
      <c r="J37" s="509"/>
      <c r="K37" s="1421"/>
      <c r="L37" s="152"/>
      <c r="M37" s="5378"/>
      <c r="N37" s="272"/>
      <c r="O37" s="1545"/>
      <c r="P37" s="1545"/>
      <c r="AH37" s="1552">
        <v>0</v>
      </c>
    </row>
    <row r="38" spans="1:34" s="4267" customFormat="1" ht="0.75" hidden="1" customHeight="1">
      <c r="A38" s="1700"/>
      <c r="B38" s="1700"/>
      <c r="C38" s="307" t="s">
        <v>1241</v>
      </c>
      <c r="D38" s="5627"/>
      <c r="E38" s="5426"/>
      <c r="F38" s="5566"/>
      <c r="G38" s="338"/>
      <c r="H38" s="1421"/>
      <c r="I38" s="589"/>
      <c r="J38" s="509"/>
      <c r="K38" s="1421"/>
      <c r="L38" s="152"/>
      <c r="M38" s="5378"/>
      <c r="N38" s="272"/>
      <c r="O38" s="1545"/>
      <c r="P38" s="1545"/>
      <c r="AH38" s="1552">
        <v>0</v>
      </c>
    </row>
    <row r="39" spans="1:34" s="4267" customFormat="1" ht="18.75" hidden="1" customHeight="1">
      <c r="A39" s="1700" t="s">
        <v>216</v>
      </c>
      <c r="B39" s="1700" t="s">
        <v>217</v>
      </c>
      <c r="C39" s="307"/>
      <c r="D39" s="5627"/>
      <c r="E39" s="5426"/>
      <c r="F39" s="5566" t="str">
        <f>INDEX(PT_DIFFERENTIATION_VTAR,MATCH(A39,PT_DIFFERENTIATION_VTAR_ID,0))</f>
        <v>Тарифы на услуги по передаче теплоносителя</v>
      </c>
      <c r="G39" s="5602" t="str">
        <f>INDEX(PT_DIFFERENTIATION_NTAR,MATCH(B39,PT_DIFFERENTIATION_NTAR_ID,0))</f>
        <v/>
      </c>
      <c r="H39" s="1780"/>
      <c r="I39" s="1659"/>
      <c r="J39" s="1693"/>
      <c r="K39" s="1783"/>
      <c r="L39" s="1780" t="s">
        <v>399</v>
      </c>
      <c r="M39" s="5378"/>
      <c r="N39" s="272"/>
      <c r="O39" s="1545"/>
      <c r="P39" s="1545"/>
      <c r="AH39" s="1552">
        <v>0</v>
      </c>
    </row>
    <row r="40" spans="1:34" s="4267" customFormat="1" ht="18.75" hidden="1" customHeight="1">
      <c r="A40" s="1700"/>
      <c r="B40" s="1700"/>
      <c r="C40" s="307" t="s">
        <v>1235</v>
      </c>
      <c r="D40" s="5627"/>
      <c r="E40" s="5426"/>
      <c r="F40" s="5566"/>
      <c r="G40" s="5602"/>
      <c r="H40" s="1421"/>
      <c r="I40" s="589" t="s">
        <v>1236</v>
      </c>
      <c r="J40" s="509"/>
      <c r="K40" s="1421"/>
      <c r="L40" s="152"/>
      <c r="M40" s="5378"/>
      <c r="N40" s="272"/>
      <c r="O40" s="1545"/>
      <c r="P40" s="1545"/>
      <c r="AH40" s="1552">
        <v>0</v>
      </c>
    </row>
    <row r="41" spans="1:34" s="4267" customFormat="1" ht="0.75" hidden="1" customHeight="1">
      <c r="A41" s="1700"/>
      <c r="B41" s="1700"/>
      <c r="C41" s="307" t="s">
        <v>1241</v>
      </c>
      <c r="D41" s="5627"/>
      <c r="E41" s="5426"/>
      <c r="F41" s="5566"/>
      <c r="G41" s="338"/>
      <c r="H41" s="1421"/>
      <c r="I41" s="589"/>
      <c r="J41" s="509"/>
      <c r="K41" s="1421"/>
      <c r="L41" s="152"/>
      <c r="M41" s="5378"/>
      <c r="N41" s="272"/>
      <c r="O41" s="1545"/>
      <c r="P41" s="1545"/>
      <c r="AH41" s="1552">
        <v>0</v>
      </c>
    </row>
    <row r="42" spans="1:34" s="4267" customFormat="1" ht="18.75" hidden="1" customHeight="1">
      <c r="A42" s="1700" t="s">
        <v>222</v>
      </c>
      <c r="B42" s="1700" t="s">
        <v>223</v>
      </c>
      <c r="C42" s="307"/>
      <c r="D42" s="5627"/>
      <c r="E42" s="5426"/>
      <c r="F42" s="5566" t="str">
        <f>INDEX(PT_DIFFERENTIATION_VTAR,MATCH(A42,PT_DIFFERENTIATION_VTAR_ID,0))</f>
        <v>Плата за услуги по поддержанию резервной тепловой мощности при отсутствии потребления тепловой энергии</v>
      </c>
      <c r="G42" s="5602" t="str">
        <f>INDEX(PT_DIFFERENTIATION_NTAR,MATCH(B42,PT_DIFFERENTIATION_NTAR_ID,0))</f>
        <v/>
      </c>
      <c r="H42" s="1780"/>
      <c r="I42" s="1659"/>
      <c r="J42" s="1693"/>
      <c r="K42" s="1783"/>
      <c r="L42" s="1780" t="s">
        <v>399</v>
      </c>
      <c r="M42" s="5378"/>
      <c r="N42" s="272"/>
      <c r="O42" s="1545"/>
      <c r="P42" s="1545"/>
      <c r="AH42" s="1552">
        <v>0</v>
      </c>
    </row>
    <row r="43" spans="1:34" s="4267" customFormat="1" ht="18.75" hidden="1" customHeight="1">
      <c r="A43" s="1700"/>
      <c r="B43" s="1700"/>
      <c r="C43" s="307" t="s">
        <v>1235</v>
      </c>
      <c r="D43" s="5627"/>
      <c r="E43" s="5426"/>
      <c r="F43" s="5566"/>
      <c r="G43" s="5602"/>
      <c r="H43" s="1421"/>
      <c r="I43" s="589" t="s">
        <v>1236</v>
      </c>
      <c r="J43" s="509"/>
      <c r="K43" s="1421"/>
      <c r="L43" s="152"/>
      <c r="M43" s="5378"/>
      <c r="N43" s="272"/>
      <c r="O43" s="1545"/>
      <c r="P43" s="1545"/>
      <c r="AH43" s="1552">
        <v>0</v>
      </c>
    </row>
    <row r="44" spans="1:34" s="4267" customFormat="1" ht="0.75" hidden="1" customHeight="1">
      <c r="A44" s="1700"/>
      <c r="B44" s="1700"/>
      <c r="C44" s="307" t="s">
        <v>1241</v>
      </c>
      <c r="D44" s="5627"/>
      <c r="E44" s="5426"/>
      <c r="F44" s="5566"/>
      <c r="G44" s="338"/>
      <c r="H44" s="1421"/>
      <c r="I44" s="589"/>
      <c r="J44" s="509"/>
      <c r="K44" s="1421"/>
      <c r="L44" s="152"/>
      <c r="M44" s="5378"/>
      <c r="N44" s="272"/>
      <c r="O44" s="1545"/>
      <c r="P44" s="1545"/>
      <c r="AH44" s="1552">
        <v>0</v>
      </c>
    </row>
    <row r="45" spans="1:34" s="4267" customFormat="1" ht="18.75" hidden="1" customHeight="1">
      <c r="A45" s="1700" t="s">
        <v>228</v>
      </c>
      <c r="B45" s="1700" t="s">
        <v>229</v>
      </c>
      <c r="C45" s="307"/>
      <c r="D45" s="5627"/>
      <c r="E45" s="5426"/>
      <c r="F45" s="5566" t="str">
        <f>INDEX(PT_DIFFERENTIATION_VTAR,MATCH(A45,PT_DIFFERENTIATION_VTAR_ID,0))</f>
        <v>Плата за подключение (технологическое присоединение) к системе теплоснабжения</v>
      </c>
      <c r="G45" s="5602" t="str">
        <f>INDEX(PT_DIFFERENTIATION_NTAR,MATCH(B45,PT_DIFFERENTIATION_NTAR_ID,0))</f>
        <v/>
      </c>
      <c r="H45" s="1780"/>
      <c r="I45" s="1659"/>
      <c r="J45" s="1693"/>
      <c r="K45" s="1783"/>
      <c r="L45" s="1780" t="s">
        <v>399</v>
      </c>
      <c r="M45" s="5378"/>
      <c r="N45" s="272"/>
      <c r="O45" s="1545"/>
      <c r="P45" s="1545"/>
      <c r="AH45" s="1552">
        <v>0</v>
      </c>
    </row>
    <row r="46" spans="1:34" s="4267" customFormat="1" ht="18.75" hidden="1" customHeight="1">
      <c r="A46" s="1700"/>
      <c r="B46" s="1700"/>
      <c r="C46" s="307" t="s">
        <v>1235</v>
      </c>
      <c r="D46" s="5627"/>
      <c r="E46" s="5426"/>
      <c r="F46" s="5566"/>
      <c r="G46" s="5602"/>
      <c r="H46" s="1421"/>
      <c r="I46" s="589" t="s">
        <v>1236</v>
      </c>
      <c r="J46" s="509"/>
      <c r="K46" s="1421"/>
      <c r="L46" s="152"/>
      <c r="M46" s="5378"/>
      <c r="N46" s="272"/>
      <c r="O46" s="1545"/>
      <c r="P46" s="1545"/>
      <c r="AH46" s="1552">
        <v>0</v>
      </c>
    </row>
    <row r="47" spans="1:34" s="4267" customFormat="1" ht="0.75" hidden="1" customHeight="1">
      <c r="A47" s="1700"/>
      <c r="B47" s="1700"/>
      <c r="C47" s="307" t="s">
        <v>1241</v>
      </c>
      <c r="D47" s="5627"/>
      <c r="E47" s="5426"/>
      <c r="F47" s="5566"/>
      <c r="G47" s="338"/>
      <c r="H47" s="1421"/>
      <c r="I47" s="589"/>
      <c r="J47" s="509"/>
      <c r="K47" s="1421"/>
      <c r="L47" s="152"/>
      <c r="M47" s="5378"/>
      <c r="N47" s="272"/>
      <c r="O47" s="1545"/>
      <c r="P47" s="1545"/>
      <c r="AH47" s="1552">
        <v>0</v>
      </c>
    </row>
    <row r="48" spans="1:34" s="4267" customFormat="1" ht="18.75" hidden="1" customHeight="1">
      <c r="A48" s="1700" t="s">
        <v>234</v>
      </c>
      <c r="B48" s="1700" t="s">
        <v>235</v>
      </c>
      <c r="C48" s="307"/>
      <c r="D48" s="5627"/>
      <c r="E48" s="5426"/>
      <c r="F48" s="5566" t="str">
        <f>INDEX(PT_DIFFERENTIATION_VTAR,MATCH(A48,PT_DIFFERENTIATION_VTAR_ID,0))</f>
        <v>Плата за подключение (технологическое присоединение) к системе теплоснабжения (индивидуальная)</v>
      </c>
      <c r="G48" s="5602" t="str">
        <f>INDEX(PT_DIFFERENTIATION_NTAR,MATCH(B48,PT_DIFFERENTIATION_NTAR_ID,0))</f>
        <v/>
      </c>
      <c r="H48" s="1904"/>
      <c r="I48" s="1659"/>
      <c r="J48" s="1693"/>
      <c r="K48" s="1783"/>
      <c r="L48" s="1904" t="s">
        <v>399</v>
      </c>
      <c r="M48" s="5378"/>
      <c r="N48" s="272"/>
      <c r="O48" s="1545"/>
      <c r="P48" s="1545"/>
      <c r="AH48" s="1552">
        <v>0</v>
      </c>
    </row>
    <row r="49" spans="1:34" s="4267" customFormat="1" ht="18.75" hidden="1" customHeight="1">
      <c r="A49" s="1700"/>
      <c r="B49" s="1700"/>
      <c r="C49" s="307" t="s">
        <v>1235</v>
      </c>
      <c r="D49" s="5627"/>
      <c r="E49" s="5426"/>
      <c r="F49" s="5566"/>
      <c r="G49" s="5602"/>
      <c r="H49" s="1421"/>
      <c r="I49" s="589" t="s">
        <v>1236</v>
      </c>
      <c r="J49" s="509"/>
      <c r="K49" s="1421"/>
      <c r="L49" s="152"/>
      <c r="M49" s="5378"/>
      <c r="N49" s="272"/>
      <c r="O49" s="1545"/>
      <c r="P49" s="1545"/>
      <c r="AH49" s="1552">
        <v>0</v>
      </c>
    </row>
    <row r="50" spans="1:34" s="4267" customFormat="1" ht="0.75" hidden="1" customHeight="1">
      <c r="A50" s="1700"/>
      <c r="B50" s="1700"/>
      <c r="C50" s="307" t="s">
        <v>1241</v>
      </c>
      <c r="D50" s="5627"/>
      <c r="E50" s="5426"/>
      <c r="F50" s="5566"/>
      <c r="G50" s="338"/>
      <c r="H50" s="1421"/>
      <c r="I50" s="589"/>
      <c r="J50" s="509"/>
      <c r="K50" s="1421"/>
      <c r="L50" s="152"/>
      <c r="M50" s="5378"/>
      <c r="N50" s="272"/>
      <c r="O50" s="1545"/>
      <c r="P50" s="1545"/>
      <c r="AH50" s="1552">
        <v>0</v>
      </c>
    </row>
    <row r="51" spans="1:34" s="4267" customFormat="1" ht="18.75" hidden="1" customHeight="1">
      <c r="A51" s="1700" t="s">
        <v>254</v>
      </c>
      <c r="B51" s="1700" t="s">
        <v>255</v>
      </c>
      <c r="C51" s="307"/>
      <c r="D51" s="5627"/>
      <c r="E51" s="5426"/>
      <c r="F51" s="5566" t="str">
        <f>INDEX(PT_DIFFERENTIATION_VTAR,MATCH(A51,PT_DIFFERENTIATION_VTAR_ID,0))</f>
        <v>Тариф на питьевую воду (питьевое водоснабжение)</v>
      </c>
      <c r="G51" s="5602" t="str">
        <f>INDEX(PT_DIFFERENTIATION_NTAR,MATCH(B51,PT_DIFFERENTIATION_NTAR_ID,0))</f>
        <v/>
      </c>
      <c r="H51" s="1780"/>
      <c r="I51" s="1659"/>
      <c r="J51" s="1693"/>
      <c r="K51" s="1783"/>
      <c r="L51" s="1780" t="s">
        <v>399</v>
      </c>
      <c r="M51" s="5378"/>
      <c r="N51" s="272"/>
      <c r="O51" s="1545"/>
      <c r="P51" s="1545"/>
      <c r="AH51" s="1552">
        <v>0</v>
      </c>
    </row>
    <row r="52" spans="1:34" s="4267" customFormat="1" ht="18.75" hidden="1" customHeight="1">
      <c r="A52" s="1700"/>
      <c r="B52" s="1700"/>
      <c r="C52" s="307" t="s">
        <v>1235</v>
      </c>
      <c r="D52" s="5627"/>
      <c r="E52" s="5426"/>
      <c r="F52" s="5566"/>
      <c r="G52" s="5602"/>
      <c r="H52" s="1421"/>
      <c r="I52" s="589" t="s">
        <v>1236</v>
      </c>
      <c r="J52" s="509"/>
      <c r="K52" s="1421"/>
      <c r="L52" s="152"/>
      <c r="M52" s="5378"/>
      <c r="N52" s="272"/>
      <c r="O52" s="1545"/>
      <c r="P52" s="1545"/>
      <c r="AH52" s="1552">
        <v>0</v>
      </c>
    </row>
    <row r="53" spans="1:34" s="4267" customFormat="1" ht="0.75" hidden="1" customHeight="1">
      <c r="A53" s="1700"/>
      <c r="B53" s="1700"/>
      <c r="C53" s="307" t="s">
        <v>1241</v>
      </c>
      <c r="D53" s="5627"/>
      <c r="E53" s="5426"/>
      <c r="F53" s="5566"/>
      <c r="G53" s="338"/>
      <c r="H53" s="1421"/>
      <c r="I53" s="589"/>
      <c r="J53" s="509"/>
      <c r="K53" s="1421"/>
      <c r="L53" s="152"/>
      <c r="M53" s="5378"/>
      <c r="N53" s="272"/>
      <c r="O53" s="1545"/>
      <c r="P53" s="1545"/>
      <c r="AH53" s="1552">
        <v>0</v>
      </c>
    </row>
    <row r="54" spans="1:34" s="4267" customFormat="1" ht="18.75" hidden="1" customHeight="1">
      <c r="A54" s="1700" t="s">
        <v>259</v>
      </c>
      <c r="B54" s="1700" t="s">
        <v>260</v>
      </c>
      <c r="C54" s="307"/>
      <c r="D54" s="5627"/>
      <c r="E54" s="5426"/>
      <c r="F54" s="5566" t="str">
        <f>INDEX(PT_DIFFERENTIATION_VTAR,MATCH(A54,PT_DIFFERENTIATION_VTAR_ID,0))</f>
        <v>Тариф на техническую воду</v>
      </c>
      <c r="G54" s="5602" t="str">
        <f>INDEX(PT_DIFFERENTIATION_NTAR,MATCH(B54,PT_DIFFERENTIATION_NTAR_ID,0))</f>
        <v/>
      </c>
      <c r="H54" s="1780"/>
      <c r="I54" s="1659"/>
      <c r="J54" s="1693"/>
      <c r="K54" s="1783"/>
      <c r="L54" s="1780" t="s">
        <v>399</v>
      </c>
      <c r="M54" s="5378"/>
      <c r="N54" s="272"/>
      <c r="O54" s="1545"/>
      <c r="P54" s="1545"/>
      <c r="AH54" s="1552">
        <v>0</v>
      </c>
    </row>
    <row r="55" spans="1:34" s="4267" customFormat="1" ht="18.75" hidden="1" customHeight="1">
      <c r="A55" s="1700"/>
      <c r="B55" s="1700"/>
      <c r="C55" s="307" t="s">
        <v>1235</v>
      </c>
      <c r="D55" s="5627"/>
      <c r="E55" s="5426"/>
      <c r="F55" s="5566"/>
      <c r="G55" s="5602"/>
      <c r="H55" s="1421"/>
      <c r="I55" s="589" t="s">
        <v>1236</v>
      </c>
      <c r="J55" s="509"/>
      <c r="K55" s="1421"/>
      <c r="L55" s="152"/>
      <c r="M55" s="5378"/>
      <c r="N55" s="272"/>
      <c r="O55" s="1545"/>
      <c r="P55" s="1545"/>
      <c r="AH55" s="1552">
        <v>0</v>
      </c>
    </row>
    <row r="56" spans="1:34" s="4267" customFormat="1" ht="0.75" hidden="1" customHeight="1">
      <c r="A56" s="1700"/>
      <c r="B56" s="1700"/>
      <c r="C56" s="307" t="s">
        <v>1241</v>
      </c>
      <c r="D56" s="5627"/>
      <c r="E56" s="5426"/>
      <c r="F56" s="5566"/>
      <c r="G56" s="338"/>
      <c r="H56" s="1421"/>
      <c r="I56" s="589"/>
      <c r="J56" s="509"/>
      <c r="K56" s="1421"/>
      <c r="L56" s="152"/>
      <c r="M56" s="5378"/>
      <c r="N56" s="272"/>
      <c r="O56" s="1545"/>
      <c r="P56" s="1545"/>
      <c r="AH56" s="1552">
        <v>0</v>
      </c>
    </row>
    <row r="57" spans="1:34" s="4267" customFormat="1" ht="18.75" hidden="1" customHeight="1">
      <c r="A57" s="1700" t="s">
        <v>264</v>
      </c>
      <c r="B57" s="1700" t="s">
        <v>265</v>
      </c>
      <c r="C57" s="307"/>
      <c r="D57" s="5627"/>
      <c r="E57" s="5426"/>
      <c r="F57" s="5566" t="str">
        <f>INDEX(PT_DIFFERENTIATION_VTAR,MATCH(A57,PT_DIFFERENTIATION_VTAR_ID,0))</f>
        <v>Тариф на транспортировку воды</v>
      </c>
      <c r="G57" s="5602" t="str">
        <f>INDEX(PT_DIFFERENTIATION_NTAR,MATCH(B57,PT_DIFFERENTIATION_NTAR_ID,0))</f>
        <v/>
      </c>
      <c r="H57" s="1780"/>
      <c r="I57" s="1659"/>
      <c r="J57" s="1693"/>
      <c r="K57" s="1783"/>
      <c r="L57" s="1780" t="s">
        <v>399</v>
      </c>
      <c r="M57" s="5378"/>
      <c r="N57" s="272"/>
      <c r="O57" s="1545"/>
      <c r="P57" s="1545"/>
      <c r="AH57" s="1552">
        <v>0</v>
      </c>
    </row>
    <row r="58" spans="1:34" s="4267" customFormat="1" ht="18.75" hidden="1" customHeight="1">
      <c r="A58" s="1700"/>
      <c r="B58" s="1700"/>
      <c r="C58" s="307" t="s">
        <v>1235</v>
      </c>
      <c r="D58" s="5627"/>
      <c r="E58" s="5426"/>
      <c r="F58" s="5566"/>
      <c r="G58" s="5602"/>
      <c r="H58" s="1421"/>
      <c r="I58" s="589" t="s">
        <v>1236</v>
      </c>
      <c r="J58" s="509"/>
      <c r="K58" s="1421"/>
      <c r="L58" s="152"/>
      <c r="M58" s="5378"/>
      <c r="N58" s="272"/>
      <c r="O58" s="1545"/>
      <c r="P58" s="1545"/>
      <c r="AH58" s="1552">
        <v>0</v>
      </c>
    </row>
    <row r="59" spans="1:34" s="4267" customFormat="1" ht="0.75" hidden="1" customHeight="1">
      <c r="A59" s="1700"/>
      <c r="B59" s="1700"/>
      <c r="C59" s="307" t="s">
        <v>1241</v>
      </c>
      <c r="D59" s="5627"/>
      <c r="E59" s="5426"/>
      <c r="F59" s="5566"/>
      <c r="G59" s="338"/>
      <c r="H59" s="1421"/>
      <c r="I59" s="589"/>
      <c r="J59" s="509"/>
      <c r="K59" s="1421"/>
      <c r="L59" s="152"/>
      <c r="M59" s="5378"/>
      <c r="N59" s="272"/>
      <c r="O59" s="1545"/>
      <c r="P59" s="1545"/>
      <c r="AH59" s="1552">
        <v>0</v>
      </c>
    </row>
    <row r="60" spans="1:34" s="4267" customFormat="1" ht="18.75" hidden="1" customHeight="1">
      <c r="A60" s="1700" t="s">
        <v>269</v>
      </c>
      <c r="B60" s="1700" t="s">
        <v>270</v>
      </c>
      <c r="C60" s="307"/>
      <c r="D60" s="5627"/>
      <c r="E60" s="5426"/>
      <c r="F60" s="5566" t="str">
        <f>INDEX(PT_DIFFERENTIATION_VTAR,MATCH(A60,PT_DIFFERENTIATION_VTAR_ID,0))</f>
        <v>Тариф на подвоз воды</v>
      </c>
      <c r="G60" s="5602" t="str">
        <f>INDEX(PT_DIFFERENTIATION_NTAR,MATCH(B60,PT_DIFFERENTIATION_NTAR_ID,0))</f>
        <v/>
      </c>
      <c r="H60" s="1780"/>
      <c r="I60" s="1659"/>
      <c r="J60" s="1693"/>
      <c r="K60" s="1783"/>
      <c r="L60" s="1780" t="s">
        <v>399</v>
      </c>
      <c r="M60" s="5378"/>
      <c r="N60" s="272"/>
      <c r="O60" s="1545"/>
      <c r="P60" s="1545"/>
      <c r="AH60" s="1552">
        <v>0</v>
      </c>
    </row>
    <row r="61" spans="1:34" s="4267" customFormat="1" ht="18.75" hidden="1" customHeight="1">
      <c r="A61" s="1700"/>
      <c r="B61" s="1700"/>
      <c r="C61" s="307" t="s">
        <v>1235</v>
      </c>
      <c r="D61" s="5627"/>
      <c r="E61" s="5426"/>
      <c r="F61" s="5566"/>
      <c r="G61" s="5602"/>
      <c r="H61" s="1421"/>
      <c r="I61" s="589" t="s">
        <v>1236</v>
      </c>
      <c r="J61" s="509"/>
      <c r="K61" s="1421"/>
      <c r="L61" s="152"/>
      <c r="M61" s="5378"/>
      <c r="N61" s="272"/>
      <c r="O61" s="1545"/>
      <c r="P61" s="1545"/>
      <c r="AH61" s="1552">
        <v>0</v>
      </c>
    </row>
    <row r="62" spans="1:34" s="4267" customFormat="1" ht="0.75" hidden="1" customHeight="1">
      <c r="A62" s="1700"/>
      <c r="B62" s="1700"/>
      <c r="C62" s="307" t="s">
        <v>1241</v>
      </c>
      <c r="D62" s="5627"/>
      <c r="E62" s="5426"/>
      <c r="F62" s="5566"/>
      <c r="G62" s="338"/>
      <c r="H62" s="1421"/>
      <c r="I62" s="589"/>
      <c r="J62" s="509"/>
      <c r="K62" s="1421"/>
      <c r="L62" s="152"/>
      <c r="M62" s="5378"/>
      <c r="N62" s="272"/>
      <c r="O62" s="1545"/>
      <c r="P62" s="1545"/>
      <c r="AH62" s="1552">
        <v>0</v>
      </c>
    </row>
    <row r="63" spans="1:34" s="4267" customFormat="1" ht="18.75" hidden="1" customHeight="1">
      <c r="A63" s="1700" t="s">
        <v>274</v>
      </c>
      <c r="B63" s="1700" t="s">
        <v>275</v>
      </c>
      <c r="C63" s="307"/>
      <c r="D63" s="5627"/>
      <c r="E63" s="5426"/>
      <c r="F63" s="5566" t="str">
        <f>INDEX(PT_DIFFERENTIATION_VTAR,MATCH(A63,PT_DIFFERENTIATION_VTAR_ID,0))</f>
        <v>Тариф на подключение (технологическое присоединение) к централизованной системе холодного водоснабжения</v>
      </c>
      <c r="G63" s="5602" t="str">
        <f>INDEX(PT_DIFFERENTIATION_NTAR,MATCH(B63,PT_DIFFERENTIATION_NTAR_ID,0))</f>
        <v/>
      </c>
      <c r="H63" s="1780"/>
      <c r="I63" s="1659"/>
      <c r="J63" s="1693"/>
      <c r="K63" s="1783"/>
      <c r="L63" s="1780" t="s">
        <v>399</v>
      </c>
      <c r="M63" s="5378"/>
      <c r="N63" s="272"/>
      <c r="O63" s="1545"/>
      <c r="P63" s="1545"/>
      <c r="AH63" s="1552">
        <v>0</v>
      </c>
    </row>
    <row r="64" spans="1:34" s="4267" customFormat="1" ht="18.75" hidden="1" customHeight="1">
      <c r="A64" s="1700"/>
      <c r="B64" s="1700"/>
      <c r="C64" s="307" t="s">
        <v>1235</v>
      </c>
      <c r="D64" s="5627"/>
      <c r="E64" s="5426"/>
      <c r="F64" s="5566"/>
      <c r="G64" s="5602"/>
      <c r="H64" s="1421"/>
      <c r="I64" s="589" t="s">
        <v>1236</v>
      </c>
      <c r="J64" s="509"/>
      <c r="K64" s="1421"/>
      <c r="L64" s="152"/>
      <c r="M64" s="5378"/>
      <c r="N64" s="272"/>
      <c r="O64" s="1545"/>
      <c r="P64" s="1545"/>
      <c r="AH64" s="1552">
        <v>0</v>
      </c>
    </row>
    <row r="65" spans="1:34" s="4267" customFormat="1" ht="0.75" hidden="1" customHeight="1">
      <c r="A65" s="1700"/>
      <c r="B65" s="1700"/>
      <c r="C65" s="307" t="s">
        <v>1241</v>
      </c>
      <c r="D65" s="5627"/>
      <c r="E65" s="5426"/>
      <c r="F65" s="5566"/>
      <c r="G65" s="338"/>
      <c r="H65" s="1421"/>
      <c r="I65" s="589"/>
      <c r="J65" s="509"/>
      <c r="K65" s="1421"/>
      <c r="L65" s="152"/>
      <c r="M65" s="5378"/>
      <c r="N65" s="272"/>
      <c r="O65" s="1545"/>
      <c r="P65" s="1545"/>
      <c r="AH65" s="1552">
        <v>0</v>
      </c>
    </row>
    <row r="66" spans="1:34" s="4267" customFormat="1" ht="18.75" hidden="1" customHeight="1">
      <c r="A66" s="1700" t="s">
        <v>279</v>
      </c>
      <c r="B66" s="1700" t="s">
        <v>280</v>
      </c>
      <c r="C66" s="307"/>
      <c r="D66" s="5627"/>
      <c r="E66" s="5426"/>
      <c r="F66" s="5566" t="str">
        <f>INDEX(PT_DIFFERENTIATION_VTAR,MATCH(A66,PT_DIFFERENTIATION_VTAR_ID,0))</f>
        <v>Тариф на горячую воду (горячее водоснабжение)</v>
      </c>
      <c r="G66" s="5602" t="str">
        <f>INDEX(PT_DIFFERENTIATION_NTAR,MATCH(B66,PT_DIFFERENTIATION_NTAR_ID,0))</f>
        <v/>
      </c>
      <c r="H66" s="1780"/>
      <c r="I66" s="1659"/>
      <c r="J66" s="1693"/>
      <c r="K66" s="1783"/>
      <c r="L66" s="1780" t="s">
        <v>399</v>
      </c>
      <c r="M66" s="5378"/>
      <c r="N66" s="272"/>
      <c r="O66" s="1545"/>
      <c r="P66" s="1545"/>
      <c r="AH66" s="1552">
        <v>0</v>
      </c>
    </row>
    <row r="67" spans="1:34" s="4267" customFormat="1" ht="18.75" hidden="1" customHeight="1">
      <c r="A67" s="1700"/>
      <c r="B67" s="1700"/>
      <c r="C67" s="307" t="s">
        <v>1235</v>
      </c>
      <c r="D67" s="5627"/>
      <c r="E67" s="5426"/>
      <c r="F67" s="5566"/>
      <c r="G67" s="5602"/>
      <c r="H67" s="1421"/>
      <c r="I67" s="589" t="s">
        <v>1236</v>
      </c>
      <c r="J67" s="509"/>
      <c r="K67" s="1421"/>
      <c r="L67" s="152"/>
      <c r="M67" s="5378"/>
      <c r="N67" s="272"/>
      <c r="O67" s="1545"/>
      <c r="P67" s="1545"/>
      <c r="AH67" s="1552">
        <v>0</v>
      </c>
    </row>
    <row r="68" spans="1:34" s="4267" customFormat="1" ht="0.75" hidden="1" customHeight="1">
      <c r="A68" s="1700"/>
      <c r="B68" s="1700"/>
      <c r="C68" s="307" t="s">
        <v>1241</v>
      </c>
      <c r="D68" s="5627"/>
      <c r="E68" s="5426"/>
      <c r="F68" s="5566"/>
      <c r="G68" s="338"/>
      <c r="H68" s="1421"/>
      <c r="I68" s="589"/>
      <c r="J68" s="509"/>
      <c r="K68" s="1421"/>
      <c r="L68" s="152"/>
      <c r="M68" s="5378"/>
      <c r="N68" s="272"/>
      <c r="O68" s="1545"/>
      <c r="P68" s="1545"/>
      <c r="AH68" s="1552">
        <v>0</v>
      </c>
    </row>
    <row r="69" spans="1:34" s="4267" customFormat="1" ht="18.75" hidden="1" customHeight="1">
      <c r="A69" s="1700" t="s">
        <v>284</v>
      </c>
      <c r="B69" s="1700" t="s">
        <v>285</v>
      </c>
      <c r="C69" s="307"/>
      <c r="D69" s="5627"/>
      <c r="E69" s="5426"/>
      <c r="F69" s="5566" t="str">
        <f>INDEX(PT_DIFFERENTIATION_VTAR,MATCH(A69,PT_DIFFERENTIATION_VTAR_ID,0))</f>
        <v>Тариф на транспортировку горячей воды</v>
      </c>
      <c r="G69" s="5602" t="str">
        <f>INDEX(PT_DIFFERENTIATION_NTAR,MATCH(B69,PT_DIFFERENTIATION_NTAR_ID,0))</f>
        <v/>
      </c>
      <c r="H69" s="1780"/>
      <c r="I69" s="1659"/>
      <c r="J69" s="1693"/>
      <c r="K69" s="1783"/>
      <c r="L69" s="1780" t="s">
        <v>399</v>
      </c>
      <c r="M69" s="5378"/>
      <c r="N69" s="272"/>
      <c r="O69" s="1545"/>
      <c r="P69" s="1545"/>
      <c r="AH69" s="1552">
        <v>0</v>
      </c>
    </row>
    <row r="70" spans="1:34" s="4267" customFormat="1" ht="18.75" hidden="1" customHeight="1">
      <c r="A70" s="1700"/>
      <c r="B70" s="1700"/>
      <c r="C70" s="307" t="s">
        <v>1235</v>
      </c>
      <c r="D70" s="5627"/>
      <c r="E70" s="5426"/>
      <c r="F70" s="5566"/>
      <c r="G70" s="5602"/>
      <c r="H70" s="1421"/>
      <c r="I70" s="589" t="s">
        <v>1236</v>
      </c>
      <c r="J70" s="509"/>
      <c r="K70" s="1421"/>
      <c r="L70" s="152"/>
      <c r="M70" s="5378"/>
      <c r="N70" s="272"/>
      <c r="O70" s="1545"/>
      <c r="P70" s="1545"/>
      <c r="AH70" s="1552">
        <v>0</v>
      </c>
    </row>
    <row r="71" spans="1:34" s="4267" customFormat="1" ht="0.75" hidden="1" customHeight="1">
      <c r="A71" s="1700"/>
      <c r="B71" s="1700"/>
      <c r="C71" s="307" t="s">
        <v>1241</v>
      </c>
      <c r="D71" s="5627"/>
      <c r="E71" s="5426"/>
      <c r="F71" s="5566"/>
      <c r="G71" s="338"/>
      <c r="H71" s="1421"/>
      <c r="I71" s="589"/>
      <c r="J71" s="509"/>
      <c r="K71" s="1421"/>
      <c r="L71" s="152"/>
      <c r="M71" s="5378"/>
      <c r="N71" s="272"/>
      <c r="O71" s="1545"/>
      <c r="P71" s="1545"/>
      <c r="AH71" s="1552">
        <v>0</v>
      </c>
    </row>
    <row r="72" spans="1:34" s="4267" customFormat="1" ht="18.75" hidden="1" customHeight="1">
      <c r="A72" s="1700" t="s">
        <v>289</v>
      </c>
      <c r="B72" s="1700" t="s">
        <v>290</v>
      </c>
      <c r="C72" s="307"/>
      <c r="D72" s="5627"/>
      <c r="E72" s="5426"/>
      <c r="F72" s="5566" t="str">
        <f>INDEX(PT_DIFFERENTIATION_VTAR,MATCH(A72,PT_DIFFERENTIATION_VTAR_ID,0))</f>
        <v>Тариф на подключение (технологическое присоединение) к централизованной системе горячего водоснабжения</v>
      </c>
      <c r="G72" s="5602" t="str">
        <f>INDEX(PT_DIFFERENTIATION_NTAR,MATCH(B72,PT_DIFFERENTIATION_NTAR_ID,0))</f>
        <v/>
      </c>
      <c r="H72" s="1780"/>
      <c r="I72" s="1659"/>
      <c r="J72" s="1693"/>
      <c r="K72" s="1783"/>
      <c r="L72" s="1780" t="s">
        <v>399</v>
      </c>
      <c r="M72" s="5378"/>
      <c r="N72" s="272"/>
      <c r="O72" s="1545"/>
      <c r="P72" s="1545"/>
      <c r="AH72" s="1552">
        <v>0</v>
      </c>
    </row>
    <row r="73" spans="1:34" s="4267" customFormat="1" ht="18.75" hidden="1" customHeight="1">
      <c r="A73" s="1700"/>
      <c r="B73" s="1700"/>
      <c r="C73" s="307" t="s">
        <v>1235</v>
      </c>
      <c r="D73" s="5627"/>
      <c r="E73" s="5426"/>
      <c r="F73" s="5566"/>
      <c r="G73" s="5602"/>
      <c r="H73" s="1421"/>
      <c r="I73" s="589" t="s">
        <v>1236</v>
      </c>
      <c r="J73" s="509"/>
      <c r="K73" s="1421"/>
      <c r="L73" s="152"/>
      <c r="M73" s="5378"/>
      <c r="N73" s="272"/>
      <c r="O73" s="1545"/>
      <c r="P73" s="1545"/>
      <c r="AH73" s="1552">
        <v>0</v>
      </c>
    </row>
    <row r="74" spans="1:34" s="4267" customFormat="1" ht="0.75" hidden="1" customHeight="1">
      <c r="A74" s="1700"/>
      <c r="B74" s="1700"/>
      <c r="C74" s="307" t="s">
        <v>1241</v>
      </c>
      <c r="D74" s="5627"/>
      <c r="E74" s="5426"/>
      <c r="F74" s="5566"/>
      <c r="G74" s="338"/>
      <c r="H74" s="1421"/>
      <c r="I74" s="589"/>
      <c r="J74" s="509"/>
      <c r="K74" s="1421"/>
      <c r="L74" s="152"/>
      <c r="M74" s="5378"/>
      <c r="N74" s="272"/>
      <c r="O74" s="1545"/>
      <c r="P74" s="1545"/>
      <c r="AH74" s="1552">
        <v>0</v>
      </c>
    </row>
    <row r="75" spans="1:34" s="4267" customFormat="1" ht="18.75" customHeight="1">
      <c r="A75" s="1700" t="s">
        <v>296</v>
      </c>
      <c r="B75" s="1700" t="s">
        <v>297</v>
      </c>
      <c r="C75" s="307"/>
      <c r="D75" s="5627"/>
      <c r="E75" s="5426"/>
      <c r="F75" s="5566" t="str">
        <f>INDEX(PT_DIFFERENTIATION_VTAR,MATCH(A75,PT_DIFFERENTIATION_VTAR_ID,0))</f>
        <v>Тариф на водоотведение</v>
      </c>
      <c r="G75" s="5602" t="str">
        <f>INDEX(PT_DIFFERENTIATION_NTAR,MATCH(B75,PT_DIFFERENTIATION_NTAR_ID,0))</f>
        <v>Тариф на водоотведение</v>
      </c>
      <c r="H75" s="1780"/>
      <c r="I75" s="4254">
        <v>45658.690497685187</v>
      </c>
      <c r="J75" s="4255">
        <v>47118.690625000003</v>
      </c>
      <c r="K75" s="1783" t="s">
        <v>1242</v>
      </c>
      <c r="L75" s="1780" t="s">
        <v>399</v>
      </c>
      <c r="M75" s="5378"/>
      <c r="N75" s="272"/>
      <c r="O75" s="1545"/>
      <c r="P75" s="1545"/>
      <c r="AH75" s="1552">
        <v>0</v>
      </c>
    </row>
    <row r="76" spans="1:34" s="4267" customFormat="1" ht="18.75" customHeight="1">
      <c r="A76" s="1700"/>
      <c r="B76" s="1700"/>
      <c r="C76" s="307" t="s">
        <v>1235</v>
      </c>
      <c r="D76" s="5627"/>
      <c r="E76" s="5426"/>
      <c r="F76" s="5566"/>
      <c r="G76" s="5602"/>
      <c r="H76" s="1421"/>
      <c r="I76" s="589" t="s">
        <v>1236</v>
      </c>
      <c r="J76" s="509"/>
      <c r="K76" s="1421"/>
      <c r="L76" s="152"/>
      <c r="M76" s="5378"/>
      <c r="N76" s="272"/>
      <c r="O76" s="1545"/>
      <c r="P76" s="1545"/>
      <c r="AH76" s="1552">
        <v>0</v>
      </c>
    </row>
    <row r="77" spans="1:34" s="4267" customFormat="1" ht="0.75" customHeight="1">
      <c r="A77" s="1700"/>
      <c r="B77" s="1700"/>
      <c r="C77" s="307" t="s">
        <v>1241</v>
      </c>
      <c r="D77" s="5627"/>
      <c r="E77" s="5426"/>
      <c r="F77" s="5566"/>
      <c r="G77" s="338"/>
      <c r="H77" s="1421"/>
      <c r="I77" s="589"/>
      <c r="J77" s="509"/>
      <c r="K77" s="1421"/>
      <c r="L77" s="152"/>
      <c r="M77" s="5378"/>
      <c r="N77" s="272"/>
      <c r="O77" s="1545"/>
      <c r="P77" s="1545"/>
      <c r="AH77" s="1552">
        <v>0</v>
      </c>
    </row>
    <row r="78" spans="1:34" s="4267" customFormat="1" ht="18.75" hidden="1" customHeight="1">
      <c r="A78" s="1700" t="s">
        <v>363</v>
      </c>
      <c r="B78" s="1700" t="s">
        <v>364</v>
      </c>
      <c r="C78" s="307"/>
      <c r="D78" s="5627"/>
      <c r="E78" s="5426"/>
      <c r="F78" s="5566" t="str">
        <f>INDEX(PT_DIFFERENTIATION_VTAR,MATCH(A78,PT_DIFFERENTIATION_VTAR_ID,0))</f>
        <v>Тариф на транспортировку сточных вод</v>
      </c>
      <c r="G78" s="5602" t="str">
        <f>INDEX(PT_DIFFERENTIATION_NTAR,MATCH(B78,PT_DIFFERENTIATION_NTAR_ID,0))</f>
        <v/>
      </c>
      <c r="H78" s="1780"/>
      <c r="I78" s="1659"/>
      <c r="J78" s="1693"/>
      <c r="K78" s="1783"/>
      <c r="L78" s="1780" t="s">
        <v>399</v>
      </c>
      <c r="M78" s="5378"/>
      <c r="N78" s="272"/>
      <c r="O78" s="1545"/>
      <c r="P78" s="1545"/>
      <c r="AH78" s="1552">
        <v>0</v>
      </c>
    </row>
    <row r="79" spans="1:34" s="4267" customFormat="1" ht="18.75" hidden="1" customHeight="1">
      <c r="A79" s="1700"/>
      <c r="B79" s="1700"/>
      <c r="C79" s="307" t="s">
        <v>1235</v>
      </c>
      <c r="D79" s="5627"/>
      <c r="E79" s="5426"/>
      <c r="F79" s="5566"/>
      <c r="G79" s="5602"/>
      <c r="H79" s="1421"/>
      <c r="I79" s="589" t="s">
        <v>1236</v>
      </c>
      <c r="J79" s="509"/>
      <c r="K79" s="1421"/>
      <c r="L79" s="152"/>
      <c r="M79" s="5378"/>
      <c r="N79" s="272"/>
      <c r="O79" s="1545"/>
      <c r="P79" s="1545"/>
      <c r="AH79" s="1552">
        <v>0</v>
      </c>
    </row>
    <row r="80" spans="1:34" s="4267" customFormat="1" ht="0.75" hidden="1" customHeight="1">
      <c r="A80" s="1700"/>
      <c r="B80" s="1700"/>
      <c r="C80" s="307" t="s">
        <v>1241</v>
      </c>
      <c r="D80" s="5627"/>
      <c r="E80" s="5426"/>
      <c r="F80" s="5566"/>
      <c r="G80" s="338"/>
      <c r="H80" s="1421"/>
      <c r="I80" s="589"/>
      <c r="J80" s="509"/>
      <c r="K80" s="1421"/>
      <c r="L80" s="152"/>
      <c r="M80" s="5378"/>
      <c r="N80" s="272"/>
      <c r="O80" s="1545"/>
      <c r="P80" s="1545"/>
      <c r="AH80" s="1552">
        <v>0</v>
      </c>
    </row>
    <row r="81" spans="1:34" s="4267" customFormat="1" ht="18.75" hidden="1" customHeight="1">
      <c r="A81" s="1700" t="s">
        <v>368</v>
      </c>
      <c r="B81" s="1700" t="s">
        <v>369</v>
      </c>
      <c r="C81" s="307"/>
      <c r="D81" s="5627"/>
      <c r="E81" s="5426"/>
      <c r="F81" s="5566" t="str">
        <f>INDEX(PT_DIFFERENTIATION_VTAR,MATCH(A81,PT_DIFFERENTIATION_VTAR_ID,0))</f>
        <v>Тариф на подключение (технологическое присоединение) к централизованной системе водоотведения</v>
      </c>
      <c r="G81" s="5602" t="str">
        <f>INDEX(PT_DIFFERENTIATION_NTAR,MATCH(B81,PT_DIFFERENTIATION_NTAR_ID,0))</f>
        <v/>
      </c>
      <c r="H81" s="1780"/>
      <c r="I81" s="1659"/>
      <c r="J81" s="1693"/>
      <c r="K81" s="1783"/>
      <c r="L81" s="1780" t="s">
        <v>399</v>
      </c>
      <c r="M81" s="5378"/>
      <c r="N81" s="272"/>
      <c r="O81" s="1545"/>
      <c r="P81" s="1545"/>
      <c r="AH81" s="1552">
        <v>0</v>
      </c>
    </row>
    <row r="82" spans="1:34" s="4267" customFormat="1" ht="18.75" hidden="1" customHeight="1">
      <c r="A82" s="1700"/>
      <c r="B82" s="1700"/>
      <c r="C82" s="307" t="s">
        <v>1235</v>
      </c>
      <c r="D82" s="5627"/>
      <c r="E82" s="5426"/>
      <c r="F82" s="5566"/>
      <c r="G82" s="5602"/>
      <c r="H82" s="1421"/>
      <c r="I82" s="589" t="s">
        <v>1236</v>
      </c>
      <c r="J82" s="509"/>
      <c r="K82" s="1421"/>
      <c r="L82" s="152"/>
      <c r="M82" s="5378"/>
      <c r="N82" s="272"/>
      <c r="O82" s="1545"/>
      <c r="P82" s="1545"/>
      <c r="AH82" s="1552">
        <v>0</v>
      </c>
    </row>
    <row r="83" spans="1:34" s="4267" customFormat="1" ht="1.1499999999999999" customHeight="1">
      <c r="A83" s="1700"/>
      <c r="B83" s="1700"/>
      <c r="C83" s="307" t="s">
        <v>1241</v>
      </c>
      <c r="D83" s="5627"/>
      <c r="E83" s="5426"/>
      <c r="F83" s="5566"/>
      <c r="G83" s="338"/>
      <c r="H83" s="1421"/>
      <c r="I83" s="589"/>
      <c r="J83" s="509"/>
      <c r="K83" s="1421"/>
      <c r="L83" s="152"/>
      <c r="M83" s="5378"/>
      <c r="N83" s="272"/>
      <c r="O83" s="1545"/>
      <c r="P83" s="1545"/>
      <c r="AH83" s="1552">
        <v>1</v>
      </c>
    </row>
    <row r="84" spans="1:34" ht="19.899999999999999" customHeight="1">
      <c r="A84" s="1700"/>
      <c r="B84" s="1700"/>
      <c r="D84" s="314"/>
      <c r="E84" s="86" t="s">
        <v>103</v>
      </c>
      <c r="F84" s="562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5626"/>
      <c r="H84" s="5626"/>
      <c r="I84" s="5626"/>
      <c r="J84" s="5626"/>
      <c r="K84" s="5626"/>
      <c r="L84" s="5626"/>
      <c r="M84" s="235"/>
      <c r="N84" s="272"/>
      <c r="AH84" s="312">
        <v>19</v>
      </c>
    </row>
    <row r="85" spans="1:34" ht="36" customHeight="1">
      <c r="A85" s="1700"/>
      <c r="B85" s="1700"/>
      <c r="D85" s="314"/>
      <c r="E85" s="337"/>
      <c r="F85" s="136" t="s">
        <v>399</v>
      </c>
      <c r="G85" s="136" t="s">
        <v>399</v>
      </c>
      <c r="H85" s="5436" t="s">
        <v>399</v>
      </c>
      <c r="I85" s="5449"/>
      <c r="J85" s="136" t="s">
        <v>399</v>
      </c>
      <c r="K85" s="136" t="s">
        <v>399</v>
      </c>
      <c r="L85" s="4256" t="s">
        <v>1243</v>
      </c>
      <c r="M85" s="283" t="s">
        <v>1244</v>
      </c>
      <c r="N85" s="272"/>
      <c r="AH85" s="312">
        <v>34</v>
      </c>
    </row>
    <row r="86" spans="1:34" ht="19.899999999999999" customHeight="1">
      <c r="A86" s="1700"/>
      <c r="B86" s="1700"/>
      <c r="D86" s="314"/>
      <c r="E86" s="86" t="s">
        <v>90</v>
      </c>
      <c r="F86" s="5626" t="s">
        <v>1245</v>
      </c>
      <c r="G86" s="5626"/>
      <c r="H86" s="5626"/>
      <c r="I86" s="5626"/>
      <c r="J86" s="5626"/>
      <c r="K86" s="5626"/>
      <c r="L86" s="5626"/>
      <c r="M86" s="235"/>
      <c r="N86" s="272"/>
      <c r="AH86" s="312">
        <v>19</v>
      </c>
    </row>
    <row r="87" spans="1:34" s="4267" customFormat="1" ht="60.75" hidden="1" customHeight="1">
      <c r="A87" s="1700" t="s">
        <v>186</v>
      </c>
      <c r="B87" s="1700" t="s">
        <v>187</v>
      </c>
      <c r="C87" s="307"/>
      <c r="D87" s="5627"/>
      <c r="E87" s="5426"/>
      <c r="F87" s="556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5602" t="str">
        <f>INDEX(PT_DIFFERENTIATION_NTAR,MATCH(B87,PT_DIFFERENTIATION_NTAR_ID,0))</f>
        <v/>
      </c>
      <c r="H87" s="1780"/>
      <c r="I87" s="1659"/>
      <c r="J87" s="1693"/>
      <c r="K87" s="1698"/>
      <c r="L87" s="1780" t="s">
        <v>399</v>
      </c>
      <c r="M87" s="53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5"/>
      <c r="P87" s="1545"/>
      <c r="AH87" s="1552">
        <v>0</v>
      </c>
    </row>
    <row r="88" spans="1:34" s="4267" customFormat="1" ht="18.75" hidden="1" customHeight="1">
      <c r="A88" s="1700"/>
      <c r="B88" s="1700"/>
      <c r="C88" s="307" t="s">
        <v>1237</v>
      </c>
      <c r="D88" s="5627"/>
      <c r="E88" s="5426"/>
      <c r="F88" s="5566"/>
      <c r="G88" s="5602"/>
      <c r="H88" s="1421"/>
      <c r="I88" s="589" t="s">
        <v>1236</v>
      </c>
      <c r="J88" s="509"/>
      <c r="K88" s="1421"/>
      <c r="L88" s="152"/>
      <c r="M88" s="5378"/>
      <c r="N88" s="272"/>
      <c r="O88" s="1545"/>
      <c r="P88" s="1545"/>
      <c r="AH88" s="1552">
        <v>0</v>
      </c>
    </row>
    <row r="89" spans="1:34" s="4267" customFormat="1" ht="0.75" hidden="1" customHeight="1">
      <c r="A89" s="1700"/>
      <c r="B89" s="1700"/>
      <c r="C89" s="307" t="s">
        <v>1246</v>
      </c>
      <c r="D89" s="5627"/>
      <c r="E89" s="5426"/>
      <c r="F89" s="5566"/>
      <c r="G89" s="338"/>
      <c r="H89" s="1421"/>
      <c r="I89" s="589"/>
      <c r="J89" s="509"/>
      <c r="K89" s="1421"/>
      <c r="L89" s="152"/>
      <c r="M89" s="5378"/>
      <c r="N89" s="272"/>
      <c r="O89" s="1545"/>
      <c r="P89" s="1545"/>
      <c r="AH89" s="1552">
        <v>0</v>
      </c>
    </row>
    <row r="90" spans="1:34" s="4267" customFormat="1" ht="45" hidden="1" customHeight="1">
      <c r="A90" s="1700" t="s">
        <v>191</v>
      </c>
      <c r="B90" s="1700" t="s">
        <v>192</v>
      </c>
      <c r="C90" s="307"/>
      <c r="D90" s="5627"/>
      <c r="E90" s="5426"/>
      <c r="F90" s="5566" t="str">
        <f>INDEX(PT_DIFFERENTIATION_VTAR,MATCH(A90,PT_DIFFERENTIATION_VTAR_ID,0))</f>
        <v/>
      </c>
      <c r="G90" s="5602" t="str">
        <f>INDEX(PT_DIFFERENTIATION_NTAR,MATCH(B90,PT_DIFFERENTIATION_NTAR_ID,0))</f>
        <v/>
      </c>
      <c r="H90" s="1780"/>
      <c r="I90" s="1659"/>
      <c r="J90" s="1693"/>
      <c r="K90" s="1698"/>
      <c r="L90" s="1780" t="s">
        <v>399</v>
      </c>
      <c r="M90" s="5379"/>
      <c r="N90" s="272"/>
      <c r="O90" s="1545"/>
      <c r="P90" s="1545"/>
      <c r="AH90" s="1552">
        <v>0</v>
      </c>
    </row>
    <row r="91" spans="1:34" s="4267" customFormat="1" ht="18.75" hidden="1" customHeight="1">
      <c r="A91" s="1700"/>
      <c r="B91" s="1700"/>
      <c r="C91" s="307" t="s">
        <v>1237</v>
      </c>
      <c r="D91" s="5627"/>
      <c r="E91" s="5426"/>
      <c r="F91" s="5566"/>
      <c r="G91" s="5602"/>
      <c r="H91" s="1421"/>
      <c r="I91" s="589" t="s">
        <v>1236</v>
      </c>
      <c r="J91" s="509"/>
      <c r="K91" s="1421"/>
      <c r="L91" s="152"/>
      <c r="M91" s="1779"/>
      <c r="N91" s="272"/>
      <c r="O91" s="1545"/>
      <c r="P91" s="1545"/>
      <c r="AH91" s="1552">
        <v>0</v>
      </c>
    </row>
    <row r="92" spans="1:34" s="4267" customFormat="1" ht="0.75" hidden="1" customHeight="1">
      <c r="A92" s="1700"/>
      <c r="B92" s="1700"/>
      <c r="C92" s="307" t="s">
        <v>1246</v>
      </c>
      <c r="D92" s="5627"/>
      <c r="E92" s="5426"/>
      <c r="F92" s="5566"/>
      <c r="G92" s="338"/>
      <c r="H92" s="1421"/>
      <c r="I92" s="589"/>
      <c r="J92" s="509"/>
      <c r="K92" s="1421"/>
      <c r="L92" s="152"/>
      <c r="M92" s="279"/>
      <c r="N92" s="272"/>
      <c r="O92" s="1545"/>
      <c r="P92" s="1545"/>
      <c r="AH92" s="1552">
        <v>0</v>
      </c>
    </row>
    <row r="93" spans="1:34" s="4267" customFormat="1" ht="45" hidden="1" customHeight="1">
      <c r="A93" s="1700" t="s">
        <v>198</v>
      </c>
      <c r="B93" s="1700" t="s">
        <v>199</v>
      </c>
      <c r="C93" s="307"/>
      <c r="D93" s="5627"/>
      <c r="E93" s="5426"/>
      <c r="F93" s="556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5602" t="str">
        <f>INDEX(PT_DIFFERENTIATION_NTAR,MATCH(B93,PT_DIFFERENTIATION_NTAR_ID,0))</f>
        <v/>
      </c>
      <c r="H93" s="1780"/>
      <c r="I93" s="1659"/>
      <c r="J93" s="1693"/>
      <c r="K93" s="1698"/>
      <c r="L93" s="1780" t="s">
        <v>399</v>
      </c>
      <c r="M93" s="279"/>
      <c r="N93" s="272"/>
      <c r="O93" s="1545"/>
      <c r="P93" s="1545"/>
      <c r="AH93" s="1552">
        <v>0</v>
      </c>
    </row>
    <row r="94" spans="1:34" s="4267" customFormat="1" ht="18.75" hidden="1" customHeight="1">
      <c r="A94" s="1700"/>
      <c r="B94" s="1700"/>
      <c r="C94" s="307" t="s">
        <v>1237</v>
      </c>
      <c r="D94" s="5627"/>
      <c r="E94" s="5426"/>
      <c r="F94" s="5566"/>
      <c r="G94" s="5602"/>
      <c r="H94" s="1421"/>
      <c r="I94" s="589" t="s">
        <v>1236</v>
      </c>
      <c r="J94" s="509"/>
      <c r="K94" s="1421"/>
      <c r="L94" s="152"/>
      <c r="M94" s="279"/>
      <c r="N94" s="272"/>
      <c r="O94" s="1545"/>
      <c r="P94" s="1545"/>
      <c r="AH94" s="1552">
        <v>0</v>
      </c>
    </row>
    <row r="95" spans="1:34" s="4267" customFormat="1" ht="0.75" hidden="1" customHeight="1">
      <c r="A95" s="1700"/>
      <c r="B95" s="1700"/>
      <c r="C95" s="307" t="s">
        <v>1246</v>
      </c>
      <c r="D95" s="5627"/>
      <c r="E95" s="5426"/>
      <c r="F95" s="5566"/>
      <c r="G95" s="338"/>
      <c r="H95" s="1421"/>
      <c r="I95" s="589"/>
      <c r="J95" s="509"/>
      <c r="K95" s="1421"/>
      <c r="L95" s="152"/>
      <c r="M95" s="279"/>
      <c r="N95" s="272"/>
      <c r="O95" s="1545"/>
      <c r="P95" s="1545"/>
      <c r="AH95" s="1552">
        <v>0</v>
      </c>
    </row>
    <row r="96" spans="1:34" s="4267" customFormat="1" ht="45" hidden="1" customHeight="1">
      <c r="A96" s="1700" t="s">
        <v>204</v>
      </c>
      <c r="B96" s="1700" t="s">
        <v>205</v>
      </c>
      <c r="C96" s="307"/>
      <c r="D96" s="5627"/>
      <c r="E96" s="5426"/>
      <c r="F96" s="556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5602" t="str">
        <f>INDEX(PT_DIFFERENTIATION_NTAR,MATCH(B96,PT_DIFFERENTIATION_NTAR_ID,0))</f>
        <v/>
      </c>
      <c r="H96" s="1780"/>
      <c r="I96" s="1659"/>
      <c r="J96" s="1693"/>
      <c r="K96" s="1698"/>
      <c r="L96" s="1780" t="s">
        <v>399</v>
      </c>
      <c r="M96" s="279"/>
      <c r="N96" s="272"/>
      <c r="O96" s="1545"/>
      <c r="P96" s="1545"/>
      <c r="AH96" s="1552">
        <v>0</v>
      </c>
    </row>
    <row r="97" spans="1:34" s="4267" customFormat="1" ht="18.75" hidden="1" customHeight="1">
      <c r="A97" s="1700"/>
      <c r="B97" s="1700"/>
      <c r="C97" s="307" t="s">
        <v>1237</v>
      </c>
      <c r="D97" s="5627"/>
      <c r="E97" s="5426"/>
      <c r="F97" s="5566"/>
      <c r="G97" s="5602"/>
      <c r="H97" s="1421"/>
      <c r="I97" s="589" t="s">
        <v>1236</v>
      </c>
      <c r="J97" s="509"/>
      <c r="K97" s="1421"/>
      <c r="L97" s="152"/>
      <c r="M97" s="279"/>
      <c r="N97" s="272"/>
      <c r="O97" s="1545"/>
      <c r="P97" s="1545"/>
      <c r="AH97" s="1552">
        <v>0</v>
      </c>
    </row>
    <row r="98" spans="1:34" s="4267" customFormat="1" ht="0.75" hidden="1" customHeight="1">
      <c r="A98" s="1700"/>
      <c r="B98" s="1700"/>
      <c r="C98" s="307" t="s">
        <v>1246</v>
      </c>
      <c r="D98" s="5627"/>
      <c r="E98" s="5426"/>
      <c r="F98" s="5566"/>
      <c r="G98" s="338"/>
      <c r="H98" s="1421"/>
      <c r="I98" s="589"/>
      <c r="J98" s="509"/>
      <c r="K98" s="1421"/>
      <c r="L98" s="152"/>
      <c r="M98" s="279"/>
      <c r="N98" s="272"/>
      <c r="O98" s="1545"/>
      <c r="P98" s="1545"/>
      <c r="AH98" s="1552">
        <v>0</v>
      </c>
    </row>
    <row r="99" spans="1:34" s="4267" customFormat="1" ht="18.75" hidden="1" customHeight="1">
      <c r="A99" s="1700" t="s">
        <v>210</v>
      </c>
      <c r="B99" s="1700" t="s">
        <v>211</v>
      </c>
      <c r="C99" s="307"/>
      <c r="D99" s="5627"/>
      <c r="E99" s="5426"/>
      <c r="F99" s="5566" t="str">
        <f>INDEX(PT_DIFFERENTIATION_VTAR,MATCH(A99,PT_DIFFERENTIATION_VTAR_ID,0))</f>
        <v>Тарифы на услуги по передаче тепловой энергии</v>
      </c>
      <c r="G99" s="5602" t="str">
        <f>INDEX(PT_DIFFERENTIATION_NTAR,MATCH(B99,PT_DIFFERENTIATION_NTAR_ID,0))</f>
        <v/>
      </c>
      <c r="H99" s="1780"/>
      <c r="I99" s="1659"/>
      <c r="J99" s="1693"/>
      <c r="K99" s="1698"/>
      <c r="L99" s="1780" t="s">
        <v>399</v>
      </c>
      <c r="M99" s="279"/>
      <c r="N99" s="272"/>
      <c r="O99" s="1545"/>
      <c r="P99" s="1545"/>
      <c r="AH99" s="1552">
        <v>0</v>
      </c>
    </row>
    <row r="100" spans="1:34" s="4267" customFormat="1" ht="18.75" hidden="1" customHeight="1">
      <c r="A100" s="1700"/>
      <c r="B100" s="1700"/>
      <c r="C100" s="307" t="s">
        <v>1237</v>
      </c>
      <c r="D100" s="5627"/>
      <c r="E100" s="5426"/>
      <c r="F100" s="5566"/>
      <c r="G100" s="5602"/>
      <c r="H100" s="1421"/>
      <c r="I100" s="589" t="s">
        <v>1236</v>
      </c>
      <c r="J100" s="509"/>
      <c r="K100" s="1421"/>
      <c r="L100" s="152"/>
      <c r="M100" s="279"/>
      <c r="N100" s="272"/>
      <c r="O100" s="1545"/>
      <c r="P100" s="1545"/>
      <c r="AH100" s="1552">
        <v>0</v>
      </c>
    </row>
    <row r="101" spans="1:34" s="4267" customFormat="1" ht="0.75" hidden="1" customHeight="1">
      <c r="A101" s="1700"/>
      <c r="B101" s="1700"/>
      <c r="C101" s="307" t="s">
        <v>1246</v>
      </c>
      <c r="D101" s="5627"/>
      <c r="E101" s="5426"/>
      <c r="F101" s="5566"/>
      <c r="G101" s="338"/>
      <c r="H101" s="1421"/>
      <c r="I101" s="589"/>
      <c r="J101" s="509"/>
      <c r="K101" s="1421"/>
      <c r="L101" s="152"/>
      <c r="M101" s="279"/>
      <c r="N101" s="272"/>
      <c r="O101" s="1545"/>
      <c r="P101" s="1545"/>
      <c r="AH101" s="1552">
        <v>0</v>
      </c>
    </row>
    <row r="102" spans="1:34" s="4267" customFormat="1" ht="18.75" hidden="1" customHeight="1">
      <c r="A102" s="1700" t="s">
        <v>216</v>
      </c>
      <c r="B102" s="1700" t="s">
        <v>217</v>
      </c>
      <c r="C102" s="307"/>
      <c r="D102" s="5627"/>
      <c r="E102" s="5426"/>
      <c r="F102" s="5566" t="str">
        <f>INDEX(PT_DIFFERENTIATION_VTAR,MATCH(A102,PT_DIFFERENTIATION_VTAR_ID,0))</f>
        <v>Тарифы на услуги по передаче теплоносителя</v>
      </c>
      <c r="G102" s="5602" t="str">
        <f>INDEX(PT_DIFFERENTIATION_NTAR,MATCH(B102,PT_DIFFERENTIATION_NTAR_ID,0))</f>
        <v/>
      </c>
      <c r="H102" s="1780"/>
      <c r="I102" s="1659"/>
      <c r="J102" s="1693"/>
      <c r="K102" s="1698"/>
      <c r="L102" s="1780" t="s">
        <v>399</v>
      </c>
      <c r="M102" s="279"/>
      <c r="N102" s="272"/>
      <c r="O102" s="1545"/>
      <c r="P102" s="1545"/>
      <c r="AH102" s="1552">
        <v>0</v>
      </c>
    </row>
    <row r="103" spans="1:34" s="4267" customFormat="1" ht="18.75" hidden="1" customHeight="1">
      <c r="A103" s="1700"/>
      <c r="B103" s="1700"/>
      <c r="C103" s="307" t="s">
        <v>1237</v>
      </c>
      <c r="D103" s="5627"/>
      <c r="E103" s="5426"/>
      <c r="F103" s="5566"/>
      <c r="G103" s="5602"/>
      <c r="H103" s="1421"/>
      <c r="I103" s="589" t="s">
        <v>1236</v>
      </c>
      <c r="J103" s="509"/>
      <c r="K103" s="1421"/>
      <c r="L103" s="152"/>
      <c r="M103" s="279"/>
      <c r="N103" s="272"/>
      <c r="O103" s="1545"/>
      <c r="P103" s="1545"/>
      <c r="AH103" s="1552">
        <v>0</v>
      </c>
    </row>
    <row r="104" spans="1:34" s="4267" customFormat="1" ht="0.75" hidden="1" customHeight="1">
      <c r="A104" s="1700"/>
      <c r="B104" s="1700"/>
      <c r="C104" s="307" t="s">
        <v>1246</v>
      </c>
      <c r="D104" s="5627"/>
      <c r="E104" s="5426"/>
      <c r="F104" s="5566"/>
      <c r="G104" s="338"/>
      <c r="H104" s="1421"/>
      <c r="I104" s="589"/>
      <c r="J104" s="509"/>
      <c r="K104" s="1421"/>
      <c r="L104" s="152"/>
      <c r="M104" s="279"/>
      <c r="N104" s="272"/>
      <c r="O104" s="1545"/>
      <c r="P104" s="1545"/>
      <c r="AH104" s="1552">
        <v>0</v>
      </c>
    </row>
    <row r="105" spans="1:34" s="4267" customFormat="1" ht="18.75" hidden="1" customHeight="1">
      <c r="A105" s="1700" t="s">
        <v>222</v>
      </c>
      <c r="B105" s="1700" t="s">
        <v>223</v>
      </c>
      <c r="C105" s="307"/>
      <c r="D105" s="5627"/>
      <c r="E105" s="5426"/>
      <c r="F105" s="556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5602" t="str">
        <f>INDEX(PT_DIFFERENTIATION_NTAR,MATCH(B105,PT_DIFFERENTIATION_NTAR_ID,0))</f>
        <v/>
      </c>
      <c r="H105" s="1780"/>
      <c r="I105" s="1659"/>
      <c r="J105" s="1693"/>
      <c r="K105" s="1698"/>
      <c r="L105" s="1780" t="s">
        <v>399</v>
      </c>
      <c r="M105" s="279"/>
      <c r="N105" s="272"/>
      <c r="O105" s="1545"/>
      <c r="P105" s="1545"/>
      <c r="AH105" s="1552">
        <v>0</v>
      </c>
    </row>
    <row r="106" spans="1:34" s="4267" customFormat="1" ht="18.75" hidden="1" customHeight="1">
      <c r="A106" s="1700"/>
      <c r="B106" s="1700"/>
      <c r="C106" s="307" t="s">
        <v>1237</v>
      </c>
      <c r="D106" s="5627"/>
      <c r="E106" s="5426"/>
      <c r="F106" s="5566"/>
      <c r="G106" s="5602"/>
      <c r="H106" s="1421"/>
      <c r="I106" s="589" t="s">
        <v>1236</v>
      </c>
      <c r="J106" s="509"/>
      <c r="K106" s="1421"/>
      <c r="L106" s="152"/>
      <c r="M106" s="279"/>
      <c r="N106" s="272"/>
      <c r="O106" s="1545"/>
      <c r="P106" s="1545"/>
      <c r="AH106" s="1552">
        <v>0</v>
      </c>
    </row>
    <row r="107" spans="1:34" s="4267" customFormat="1" ht="0.75" hidden="1" customHeight="1">
      <c r="A107" s="1700"/>
      <c r="B107" s="1700"/>
      <c r="C107" s="307" t="s">
        <v>1246</v>
      </c>
      <c r="D107" s="5627"/>
      <c r="E107" s="5426"/>
      <c r="F107" s="5566"/>
      <c r="G107" s="338"/>
      <c r="H107" s="1421"/>
      <c r="I107" s="589"/>
      <c r="J107" s="509"/>
      <c r="K107" s="1421"/>
      <c r="L107" s="152"/>
      <c r="M107" s="279"/>
      <c r="N107" s="272"/>
      <c r="O107" s="1545"/>
      <c r="P107" s="1545"/>
      <c r="AH107" s="1552">
        <v>0</v>
      </c>
    </row>
    <row r="108" spans="1:34" s="4267" customFormat="1" ht="18.75" hidden="1" customHeight="1">
      <c r="A108" s="1700" t="s">
        <v>228</v>
      </c>
      <c r="B108" s="1700" t="s">
        <v>229</v>
      </c>
      <c r="C108" s="307"/>
      <c r="D108" s="5627"/>
      <c r="E108" s="5426"/>
      <c r="F108" s="5566" t="str">
        <f>INDEX(PT_DIFFERENTIATION_VTAR,MATCH(A108,PT_DIFFERENTIATION_VTAR_ID,0))</f>
        <v>Плата за подключение (технологическое присоединение) к системе теплоснабжения</v>
      </c>
      <c r="G108" s="5602" t="str">
        <f>INDEX(PT_DIFFERENTIATION_NTAR,MATCH(B108,PT_DIFFERENTIATION_NTAR_ID,0))</f>
        <v/>
      </c>
      <c r="H108" s="1780"/>
      <c r="I108" s="1659"/>
      <c r="J108" s="1693"/>
      <c r="K108" s="1698"/>
      <c r="L108" s="1780" t="s">
        <v>399</v>
      </c>
      <c r="M108" s="279"/>
      <c r="N108" s="272"/>
      <c r="O108" s="1545"/>
      <c r="P108" s="1545"/>
      <c r="AH108" s="1552">
        <v>0</v>
      </c>
    </row>
    <row r="109" spans="1:34" s="4267" customFormat="1" ht="18.75" hidden="1" customHeight="1">
      <c r="A109" s="1700"/>
      <c r="B109" s="1700"/>
      <c r="C109" s="307" t="s">
        <v>1237</v>
      </c>
      <c r="D109" s="5627"/>
      <c r="E109" s="5426"/>
      <c r="F109" s="5566"/>
      <c r="G109" s="5602"/>
      <c r="H109" s="1421"/>
      <c r="I109" s="589" t="s">
        <v>1236</v>
      </c>
      <c r="J109" s="509"/>
      <c r="K109" s="1421"/>
      <c r="L109" s="152"/>
      <c r="M109" s="279"/>
      <c r="N109" s="272"/>
      <c r="O109" s="1545"/>
      <c r="P109" s="1545"/>
      <c r="AH109" s="1552">
        <v>0</v>
      </c>
    </row>
    <row r="110" spans="1:34" s="4267" customFormat="1" ht="0.75" hidden="1" customHeight="1">
      <c r="A110" s="1700"/>
      <c r="B110" s="1700"/>
      <c r="C110" s="307" t="s">
        <v>1246</v>
      </c>
      <c r="D110" s="5627"/>
      <c r="E110" s="5426"/>
      <c r="F110" s="5566"/>
      <c r="G110" s="338"/>
      <c r="H110" s="1421"/>
      <c r="I110" s="589"/>
      <c r="J110" s="509"/>
      <c r="K110" s="1421"/>
      <c r="L110" s="152"/>
      <c r="M110" s="279"/>
      <c r="N110" s="272"/>
      <c r="O110" s="1545"/>
      <c r="P110" s="1545"/>
      <c r="AH110" s="1552">
        <v>0</v>
      </c>
    </row>
    <row r="111" spans="1:34" s="4267" customFormat="1" ht="18.75" hidden="1" customHeight="1">
      <c r="A111" s="1700" t="s">
        <v>234</v>
      </c>
      <c r="B111" s="1700" t="s">
        <v>235</v>
      </c>
      <c r="C111" s="307"/>
      <c r="D111" s="5627"/>
      <c r="E111" s="5426"/>
      <c r="F111" s="5566" t="str">
        <f>INDEX(PT_DIFFERENTIATION_VTAR,MATCH(A111,PT_DIFFERENTIATION_VTAR_ID,0))</f>
        <v>Плата за подключение (технологическое присоединение) к системе теплоснабжения (индивидуальная)</v>
      </c>
      <c r="G111" s="5602" t="str">
        <f>INDEX(PT_DIFFERENTIATION_NTAR,MATCH(B111,PT_DIFFERENTIATION_NTAR_ID,0))</f>
        <v/>
      </c>
      <c r="H111" s="1904"/>
      <c r="I111" s="1659"/>
      <c r="J111" s="1693"/>
      <c r="K111" s="1698"/>
      <c r="L111" s="1904" t="s">
        <v>399</v>
      </c>
      <c r="M111" s="279"/>
      <c r="N111" s="272"/>
      <c r="O111" s="1545"/>
      <c r="P111" s="1545"/>
      <c r="AH111" s="1552">
        <v>0</v>
      </c>
    </row>
    <row r="112" spans="1:34" s="4267" customFormat="1" ht="18.75" hidden="1" customHeight="1">
      <c r="A112" s="1700"/>
      <c r="B112" s="1700"/>
      <c r="C112" s="307" t="s">
        <v>1237</v>
      </c>
      <c r="D112" s="5627"/>
      <c r="E112" s="5426"/>
      <c r="F112" s="5566"/>
      <c r="G112" s="5602"/>
      <c r="H112" s="1421"/>
      <c r="I112" s="589" t="s">
        <v>1236</v>
      </c>
      <c r="J112" s="509"/>
      <c r="K112" s="1421"/>
      <c r="L112" s="152"/>
      <c r="M112" s="279"/>
      <c r="N112" s="272"/>
      <c r="O112" s="1545"/>
      <c r="P112" s="1545"/>
      <c r="AH112" s="1552">
        <v>0</v>
      </c>
    </row>
    <row r="113" spans="1:34" s="4267" customFormat="1" ht="0.75" hidden="1" customHeight="1">
      <c r="A113" s="1700"/>
      <c r="B113" s="1700"/>
      <c r="C113" s="307" t="s">
        <v>1246</v>
      </c>
      <c r="D113" s="5627"/>
      <c r="E113" s="5426"/>
      <c r="F113" s="5566"/>
      <c r="G113" s="338"/>
      <c r="H113" s="1421"/>
      <c r="I113" s="589"/>
      <c r="J113" s="509"/>
      <c r="K113" s="1421"/>
      <c r="L113" s="152"/>
      <c r="M113" s="279"/>
      <c r="N113" s="272"/>
      <c r="O113" s="1545"/>
      <c r="P113" s="1545"/>
      <c r="AH113" s="1552">
        <v>0</v>
      </c>
    </row>
    <row r="114" spans="1:34" s="4267" customFormat="1" ht="18.75" hidden="1" customHeight="1">
      <c r="A114" s="1700" t="s">
        <v>254</v>
      </c>
      <c r="B114" s="1700" t="s">
        <v>255</v>
      </c>
      <c r="C114" s="307"/>
      <c r="D114" s="5627"/>
      <c r="E114" s="5426"/>
      <c r="F114" s="5566" t="str">
        <f>INDEX(PT_DIFFERENTIATION_VTAR,MATCH(A114,PT_DIFFERENTIATION_VTAR_ID,0))</f>
        <v>Тариф на питьевую воду (питьевое водоснабжение)</v>
      </c>
      <c r="G114" s="5602" t="str">
        <f>INDEX(PT_DIFFERENTIATION_NTAR,MATCH(B114,PT_DIFFERENTIATION_NTAR_ID,0))</f>
        <v/>
      </c>
      <c r="H114" s="1780"/>
      <c r="I114" s="1659"/>
      <c r="J114" s="1693"/>
      <c r="K114" s="1698"/>
      <c r="L114" s="1780" t="s">
        <v>399</v>
      </c>
      <c r="M114" s="279"/>
      <c r="N114" s="272"/>
      <c r="O114" s="1545"/>
      <c r="P114" s="1545"/>
      <c r="AH114" s="1552">
        <v>0</v>
      </c>
    </row>
    <row r="115" spans="1:34" s="4267" customFormat="1" ht="18.75" hidden="1" customHeight="1">
      <c r="A115" s="1700"/>
      <c r="B115" s="1700"/>
      <c r="C115" s="307" t="s">
        <v>1237</v>
      </c>
      <c r="D115" s="5627"/>
      <c r="E115" s="5426"/>
      <c r="F115" s="5566"/>
      <c r="G115" s="5602"/>
      <c r="H115" s="1421"/>
      <c r="I115" s="589" t="s">
        <v>1236</v>
      </c>
      <c r="J115" s="509"/>
      <c r="K115" s="1421"/>
      <c r="L115" s="152"/>
      <c r="M115" s="279"/>
      <c r="N115" s="272"/>
      <c r="O115" s="1545"/>
      <c r="P115" s="1545"/>
      <c r="AH115" s="1552">
        <v>0</v>
      </c>
    </row>
    <row r="116" spans="1:34" s="4267" customFormat="1" ht="0.75" hidden="1" customHeight="1">
      <c r="A116" s="1700"/>
      <c r="B116" s="1700"/>
      <c r="C116" s="307" t="s">
        <v>1246</v>
      </c>
      <c r="D116" s="5627"/>
      <c r="E116" s="5426"/>
      <c r="F116" s="5566"/>
      <c r="G116" s="338"/>
      <c r="H116" s="1421"/>
      <c r="I116" s="589"/>
      <c r="J116" s="509"/>
      <c r="K116" s="1421"/>
      <c r="L116" s="152"/>
      <c r="M116" s="279"/>
      <c r="N116" s="272"/>
      <c r="O116" s="1545"/>
      <c r="P116" s="1545"/>
      <c r="AH116" s="1552">
        <v>0</v>
      </c>
    </row>
    <row r="117" spans="1:34" s="4267" customFormat="1" ht="18.75" hidden="1" customHeight="1">
      <c r="A117" s="1700" t="s">
        <v>259</v>
      </c>
      <c r="B117" s="1700" t="s">
        <v>260</v>
      </c>
      <c r="C117" s="307"/>
      <c r="D117" s="5627"/>
      <c r="E117" s="5426"/>
      <c r="F117" s="5566" t="str">
        <f>INDEX(PT_DIFFERENTIATION_VTAR,MATCH(A117,PT_DIFFERENTIATION_VTAR_ID,0))</f>
        <v>Тариф на техническую воду</v>
      </c>
      <c r="G117" s="5602" t="str">
        <f>INDEX(PT_DIFFERENTIATION_NTAR,MATCH(B117,PT_DIFFERENTIATION_NTAR_ID,0))</f>
        <v/>
      </c>
      <c r="H117" s="1780"/>
      <c r="I117" s="1659"/>
      <c r="J117" s="1693"/>
      <c r="K117" s="1698"/>
      <c r="L117" s="1780" t="s">
        <v>399</v>
      </c>
      <c r="M117" s="279"/>
      <c r="N117" s="272"/>
      <c r="O117" s="1545"/>
      <c r="P117" s="1545"/>
      <c r="AH117" s="1552">
        <v>0</v>
      </c>
    </row>
    <row r="118" spans="1:34" s="4267" customFormat="1" ht="18.75" hidden="1" customHeight="1">
      <c r="A118" s="1700"/>
      <c r="B118" s="1700"/>
      <c r="C118" s="307" t="s">
        <v>1237</v>
      </c>
      <c r="D118" s="5627"/>
      <c r="E118" s="5426"/>
      <c r="F118" s="5566"/>
      <c r="G118" s="5602"/>
      <c r="H118" s="1421"/>
      <c r="I118" s="589" t="s">
        <v>1236</v>
      </c>
      <c r="J118" s="509"/>
      <c r="K118" s="1421"/>
      <c r="L118" s="152"/>
      <c r="M118" s="279"/>
      <c r="N118" s="272"/>
      <c r="O118" s="1545"/>
      <c r="P118" s="1545"/>
      <c r="AH118" s="1552">
        <v>0</v>
      </c>
    </row>
    <row r="119" spans="1:34" s="4267" customFormat="1" ht="0.75" hidden="1" customHeight="1">
      <c r="A119" s="1700"/>
      <c r="B119" s="1700"/>
      <c r="C119" s="307" t="s">
        <v>1246</v>
      </c>
      <c r="D119" s="5627"/>
      <c r="E119" s="5426"/>
      <c r="F119" s="5566"/>
      <c r="G119" s="338"/>
      <c r="H119" s="1421"/>
      <c r="I119" s="589"/>
      <c r="J119" s="509"/>
      <c r="K119" s="1421"/>
      <c r="L119" s="152"/>
      <c r="M119" s="279"/>
      <c r="N119" s="272"/>
      <c r="O119" s="1545"/>
      <c r="P119" s="1545"/>
      <c r="AH119" s="1552">
        <v>0</v>
      </c>
    </row>
    <row r="120" spans="1:34" s="4267" customFormat="1" ht="18.75" hidden="1" customHeight="1">
      <c r="A120" s="1700" t="s">
        <v>264</v>
      </c>
      <c r="B120" s="1700" t="s">
        <v>265</v>
      </c>
      <c r="C120" s="307"/>
      <c r="D120" s="5627"/>
      <c r="E120" s="5426"/>
      <c r="F120" s="5566" t="str">
        <f>INDEX(PT_DIFFERENTIATION_VTAR,MATCH(A120,PT_DIFFERENTIATION_VTAR_ID,0))</f>
        <v>Тариф на транспортировку воды</v>
      </c>
      <c r="G120" s="5602" t="str">
        <f>INDEX(PT_DIFFERENTIATION_NTAR,MATCH(B120,PT_DIFFERENTIATION_NTAR_ID,0))</f>
        <v/>
      </c>
      <c r="H120" s="1780"/>
      <c r="I120" s="1659"/>
      <c r="J120" s="1693"/>
      <c r="K120" s="1698"/>
      <c r="L120" s="1780" t="s">
        <v>399</v>
      </c>
      <c r="M120" s="279"/>
      <c r="N120" s="272"/>
      <c r="O120" s="1545"/>
      <c r="P120" s="1545"/>
      <c r="AH120" s="1552">
        <v>0</v>
      </c>
    </row>
    <row r="121" spans="1:34" s="4267" customFormat="1" ht="18.75" hidden="1" customHeight="1">
      <c r="A121" s="1700"/>
      <c r="B121" s="1700"/>
      <c r="C121" s="307" t="s">
        <v>1237</v>
      </c>
      <c r="D121" s="5627"/>
      <c r="E121" s="5426"/>
      <c r="F121" s="5566"/>
      <c r="G121" s="5602"/>
      <c r="H121" s="1421"/>
      <c r="I121" s="589" t="s">
        <v>1236</v>
      </c>
      <c r="J121" s="509"/>
      <c r="K121" s="1421"/>
      <c r="L121" s="152"/>
      <c r="M121" s="279"/>
      <c r="N121" s="272"/>
      <c r="O121" s="1545"/>
      <c r="P121" s="1545"/>
      <c r="AH121" s="1552">
        <v>0</v>
      </c>
    </row>
    <row r="122" spans="1:34" s="4267" customFormat="1" ht="0.75" hidden="1" customHeight="1">
      <c r="A122" s="1700"/>
      <c r="B122" s="1700"/>
      <c r="C122" s="307" t="s">
        <v>1246</v>
      </c>
      <c r="D122" s="5627"/>
      <c r="E122" s="5426"/>
      <c r="F122" s="5566"/>
      <c r="G122" s="338"/>
      <c r="H122" s="1421"/>
      <c r="I122" s="589"/>
      <c r="J122" s="509"/>
      <c r="K122" s="1421"/>
      <c r="L122" s="152"/>
      <c r="M122" s="279"/>
      <c r="N122" s="272"/>
      <c r="O122" s="1545"/>
      <c r="P122" s="1545"/>
      <c r="AH122" s="1552">
        <v>0</v>
      </c>
    </row>
    <row r="123" spans="1:34" s="4267" customFormat="1" ht="18.75" hidden="1" customHeight="1">
      <c r="A123" s="1700" t="s">
        <v>269</v>
      </c>
      <c r="B123" s="1700" t="s">
        <v>270</v>
      </c>
      <c r="C123" s="307"/>
      <c r="D123" s="5627"/>
      <c r="E123" s="5426"/>
      <c r="F123" s="5566" t="str">
        <f>INDEX(PT_DIFFERENTIATION_VTAR,MATCH(A123,PT_DIFFERENTIATION_VTAR_ID,0))</f>
        <v>Тариф на подвоз воды</v>
      </c>
      <c r="G123" s="5602" t="str">
        <f>INDEX(PT_DIFFERENTIATION_NTAR,MATCH(B123,PT_DIFFERENTIATION_NTAR_ID,0))</f>
        <v/>
      </c>
      <c r="H123" s="1780"/>
      <c r="I123" s="1659"/>
      <c r="J123" s="1693"/>
      <c r="K123" s="1698"/>
      <c r="L123" s="1780" t="s">
        <v>399</v>
      </c>
      <c r="M123" s="279"/>
      <c r="N123" s="272"/>
      <c r="O123" s="1545"/>
      <c r="P123" s="1545"/>
      <c r="AH123" s="1552">
        <v>0</v>
      </c>
    </row>
    <row r="124" spans="1:34" s="4267" customFormat="1" ht="18.75" hidden="1" customHeight="1">
      <c r="A124" s="1700"/>
      <c r="B124" s="1700"/>
      <c r="C124" s="307" t="s">
        <v>1237</v>
      </c>
      <c r="D124" s="5627"/>
      <c r="E124" s="5426"/>
      <c r="F124" s="5566"/>
      <c r="G124" s="5602"/>
      <c r="H124" s="1421"/>
      <c r="I124" s="589" t="s">
        <v>1236</v>
      </c>
      <c r="J124" s="509"/>
      <c r="K124" s="1421"/>
      <c r="L124" s="152"/>
      <c r="M124" s="279"/>
      <c r="N124" s="272"/>
      <c r="O124" s="1545"/>
      <c r="P124" s="1545"/>
      <c r="AH124" s="1552">
        <v>0</v>
      </c>
    </row>
    <row r="125" spans="1:34" s="4267" customFormat="1" ht="0.75" hidden="1" customHeight="1">
      <c r="A125" s="1700"/>
      <c r="B125" s="1700"/>
      <c r="C125" s="307" t="s">
        <v>1246</v>
      </c>
      <c r="D125" s="5627"/>
      <c r="E125" s="5426"/>
      <c r="F125" s="5566"/>
      <c r="G125" s="338"/>
      <c r="H125" s="1421"/>
      <c r="I125" s="589"/>
      <c r="J125" s="509"/>
      <c r="K125" s="1421"/>
      <c r="L125" s="152"/>
      <c r="M125" s="279"/>
      <c r="N125" s="272"/>
      <c r="O125" s="1545"/>
      <c r="P125" s="1545"/>
      <c r="AH125" s="1552">
        <v>0</v>
      </c>
    </row>
    <row r="126" spans="1:34" s="4267" customFormat="1" ht="18.75" hidden="1" customHeight="1">
      <c r="A126" s="1700" t="s">
        <v>274</v>
      </c>
      <c r="B126" s="1700" t="s">
        <v>275</v>
      </c>
      <c r="C126" s="307"/>
      <c r="D126" s="5627"/>
      <c r="E126" s="5426"/>
      <c r="F126" s="556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5602" t="str">
        <f>INDEX(PT_DIFFERENTIATION_NTAR,MATCH(B126,PT_DIFFERENTIATION_NTAR_ID,0))</f>
        <v/>
      </c>
      <c r="H126" s="1780"/>
      <c r="I126" s="1659"/>
      <c r="J126" s="1693"/>
      <c r="K126" s="1698"/>
      <c r="L126" s="1780" t="s">
        <v>399</v>
      </c>
      <c r="M126" s="279"/>
      <c r="N126" s="272"/>
      <c r="O126" s="1545"/>
      <c r="P126" s="1545"/>
      <c r="AH126" s="1552">
        <v>0</v>
      </c>
    </row>
    <row r="127" spans="1:34" s="4267" customFormat="1" ht="18.75" hidden="1" customHeight="1">
      <c r="A127" s="1700"/>
      <c r="B127" s="1700"/>
      <c r="C127" s="307" t="s">
        <v>1237</v>
      </c>
      <c r="D127" s="5627"/>
      <c r="E127" s="5426"/>
      <c r="F127" s="5566"/>
      <c r="G127" s="5602"/>
      <c r="H127" s="1421"/>
      <c r="I127" s="589" t="s">
        <v>1236</v>
      </c>
      <c r="J127" s="509"/>
      <c r="K127" s="1421"/>
      <c r="L127" s="152"/>
      <c r="M127" s="279"/>
      <c r="N127" s="272"/>
      <c r="O127" s="1545"/>
      <c r="P127" s="1545"/>
      <c r="AH127" s="1552">
        <v>0</v>
      </c>
    </row>
    <row r="128" spans="1:34" s="4267" customFormat="1" ht="0.75" hidden="1" customHeight="1">
      <c r="A128" s="1700"/>
      <c r="B128" s="1700"/>
      <c r="C128" s="307" t="s">
        <v>1246</v>
      </c>
      <c r="D128" s="5627"/>
      <c r="E128" s="5426"/>
      <c r="F128" s="5566"/>
      <c r="G128" s="338"/>
      <c r="H128" s="1421"/>
      <c r="I128" s="589"/>
      <c r="J128" s="509"/>
      <c r="K128" s="1421"/>
      <c r="L128" s="152"/>
      <c r="M128" s="279"/>
      <c r="N128" s="272"/>
      <c r="O128" s="1545"/>
      <c r="P128" s="1545"/>
      <c r="AH128" s="1552">
        <v>0</v>
      </c>
    </row>
    <row r="129" spans="1:34" s="4267" customFormat="1" ht="18.75" hidden="1" customHeight="1">
      <c r="A129" s="1700" t="s">
        <v>279</v>
      </c>
      <c r="B129" s="1700" t="s">
        <v>280</v>
      </c>
      <c r="C129" s="307"/>
      <c r="D129" s="5627"/>
      <c r="E129" s="5426"/>
      <c r="F129" s="5566" t="str">
        <f>INDEX(PT_DIFFERENTIATION_VTAR,MATCH(A129,PT_DIFFERENTIATION_VTAR_ID,0))</f>
        <v>Тариф на горячую воду (горячее водоснабжение)</v>
      </c>
      <c r="G129" s="5602" t="str">
        <f>INDEX(PT_DIFFERENTIATION_NTAR,MATCH(B129,PT_DIFFERENTIATION_NTAR_ID,0))</f>
        <v/>
      </c>
      <c r="H129" s="1780"/>
      <c r="I129" s="1659"/>
      <c r="J129" s="1693"/>
      <c r="K129" s="1698"/>
      <c r="L129" s="1780" t="s">
        <v>399</v>
      </c>
      <c r="M129" s="279"/>
      <c r="N129" s="272"/>
      <c r="O129" s="1545"/>
      <c r="P129" s="1545"/>
      <c r="AH129" s="1552">
        <v>0</v>
      </c>
    </row>
    <row r="130" spans="1:34" s="4267" customFormat="1" ht="18.75" hidden="1" customHeight="1">
      <c r="A130" s="1700"/>
      <c r="B130" s="1700"/>
      <c r="C130" s="307" t="s">
        <v>1237</v>
      </c>
      <c r="D130" s="5627"/>
      <c r="E130" s="5426"/>
      <c r="F130" s="5566"/>
      <c r="G130" s="5602"/>
      <c r="H130" s="1421"/>
      <c r="I130" s="589" t="s">
        <v>1236</v>
      </c>
      <c r="J130" s="509"/>
      <c r="K130" s="1421"/>
      <c r="L130" s="152"/>
      <c r="M130" s="279"/>
      <c r="N130" s="272"/>
      <c r="O130" s="1545"/>
      <c r="P130" s="1545"/>
      <c r="AH130" s="1552">
        <v>0</v>
      </c>
    </row>
    <row r="131" spans="1:34" s="4267" customFormat="1" ht="0.75" hidden="1" customHeight="1">
      <c r="A131" s="1700"/>
      <c r="B131" s="1700"/>
      <c r="C131" s="307" t="s">
        <v>1246</v>
      </c>
      <c r="D131" s="5627"/>
      <c r="E131" s="5426"/>
      <c r="F131" s="5566"/>
      <c r="G131" s="338"/>
      <c r="H131" s="1421"/>
      <c r="I131" s="589"/>
      <c r="J131" s="509"/>
      <c r="K131" s="1421"/>
      <c r="L131" s="152"/>
      <c r="M131" s="279"/>
      <c r="N131" s="272"/>
      <c r="O131" s="1545"/>
      <c r="P131" s="1545"/>
      <c r="AH131" s="1552">
        <v>0</v>
      </c>
    </row>
    <row r="132" spans="1:34" s="4267" customFormat="1" ht="18.75" hidden="1" customHeight="1">
      <c r="A132" s="1700" t="s">
        <v>284</v>
      </c>
      <c r="B132" s="1700" t="s">
        <v>285</v>
      </c>
      <c r="C132" s="307"/>
      <c r="D132" s="5627"/>
      <c r="E132" s="5426"/>
      <c r="F132" s="5566" t="str">
        <f>INDEX(PT_DIFFERENTIATION_VTAR,MATCH(A132,PT_DIFFERENTIATION_VTAR_ID,0))</f>
        <v>Тариф на транспортировку горячей воды</v>
      </c>
      <c r="G132" s="5602" t="str">
        <f>INDEX(PT_DIFFERENTIATION_NTAR,MATCH(B132,PT_DIFFERENTIATION_NTAR_ID,0))</f>
        <v/>
      </c>
      <c r="H132" s="1780"/>
      <c r="I132" s="1659"/>
      <c r="J132" s="1693"/>
      <c r="K132" s="1698"/>
      <c r="L132" s="1780" t="s">
        <v>399</v>
      </c>
      <c r="M132" s="279"/>
      <c r="N132" s="272"/>
      <c r="O132" s="1545"/>
      <c r="P132" s="1545"/>
      <c r="AH132" s="1552">
        <v>0</v>
      </c>
    </row>
    <row r="133" spans="1:34" s="4267" customFormat="1" ht="18.75" hidden="1" customHeight="1">
      <c r="A133" s="1700"/>
      <c r="B133" s="1700"/>
      <c r="C133" s="307" t="s">
        <v>1237</v>
      </c>
      <c r="D133" s="5627"/>
      <c r="E133" s="5426"/>
      <c r="F133" s="5566"/>
      <c r="G133" s="5602"/>
      <c r="H133" s="1421"/>
      <c r="I133" s="589" t="s">
        <v>1236</v>
      </c>
      <c r="J133" s="509"/>
      <c r="K133" s="1421"/>
      <c r="L133" s="152"/>
      <c r="M133" s="279"/>
      <c r="N133" s="272"/>
      <c r="O133" s="1545"/>
      <c r="P133" s="1545"/>
      <c r="AH133" s="1552">
        <v>0</v>
      </c>
    </row>
    <row r="134" spans="1:34" s="4267" customFormat="1" ht="0.75" hidden="1" customHeight="1">
      <c r="A134" s="1700"/>
      <c r="B134" s="1700"/>
      <c r="C134" s="307" t="s">
        <v>1246</v>
      </c>
      <c r="D134" s="5627"/>
      <c r="E134" s="5426"/>
      <c r="F134" s="5566"/>
      <c r="G134" s="338"/>
      <c r="H134" s="1421"/>
      <c r="I134" s="589"/>
      <c r="J134" s="509"/>
      <c r="K134" s="1421"/>
      <c r="L134" s="152"/>
      <c r="M134" s="279"/>
      <c r="N134" s="272"/>
      <c r="O134" s="1545"/>
      <c r="P134" s="1545"/>
      <c r="AH134" s="1552">
        <v>0</v>
      </c>
    </row>
    <row r="135" spans="1:34" s="4267" customFormat="1" ht="18.75" hidden="1" customHeight="1">
      <c r="A135" s="1700" t="s">
        <v>289</v>
      </c>
      <c r="B135" s="1700" t="s">
        <v>290</v>
      </c>
      <c r="C135" s="307"/>
      <c r="D135" s="5627"/>
      <c r="E135" s="5426"/>
      <c r="F135" s="5566" t="str">
        <f>INDEX(PT_DIFFERENTIATION_VTAR,MATCH(A135,PT_DIFFERENTIATION_VTAR_ID,0))</f>
        <v>Тариф на подключение (технологическое присоединение) к централизованной системе горячего водоснабжения</v>
      </c>
      <c r="G135" s="5602" t="str">
        <f>INDEX(PT_DIFFERENTIATION_NTAR,MATCH(B135,PT_DIFFERENTIATION_NTAR_ID,0))</f>
        <v/>
      </c>
      <c r="H135" s="1780"/>
      <c r="I135" s="1659"/>
      <c r="J135" s="1693"/>
      <c r="K135" s="1698"/>
      <c r="L135" s="1780" t="s">
        <v>399</v>
      </c>
      <c r="M135" s="279"/>
      <c r="N135" s="272"/>
      <c r="O135" s="1545"/>
      <c r="P135" s="1545"/>
      <c r="AH135" s="1552">
        <v>0</v>
      </c>
    </row>
    <row r="136" spans="1:34" s="4267" customFormat="1" ht="18.75" hidden="1" customHeight="1">
      <c r="A136" s="1700"/>
      <c r="B136" s="1700"/>
      <c r="C136" s="307" t="s">
        <v>1237</v>
      </c>
      <c r="D136" s="5627"/>
      <c r="E136" s="5426"/>
      <c r="F136" s="5566"/>
      <c r="G136" s="5602"/>
      <c r="H136" s="1421"/>
      <c r="I136" s="589" t="s">
        <v>1236</v>
      </c>
      <c r="J136" s="509"/>
      <c r="K136" s="1421"/>
      <c r="L136" s="152"/>
      <c r="M136" s="279"/>
      <c r="N136" s="272"/>
      <c r="O136" s="1545"/>
      <c r="P136" s="1545"/>
      <c r="AH136" s="1552">
        <v>0</v>
      </c>
    </row>
    <row r="137" spans="1:34" s="4267" customFormat="1" ht="0.75" hidden="1" customHeight="1">
      <c r="A137" s="1700"/>
      <c r="B137" s="1700"/>
      <c r="C137" s="307" t="s">
        <v>1246</v>
      </c>
      <c r="D137" s="5627"/>
      <c r="E137" s="5426"/>
      <c r="F137" s="5566"/>
      <c r="G137" s="338"/>
      <c r="H137" s="1421"/>
      <c r="I137" s="589"/>
      <c r="J137" s="509"/>
      <c r="K137" s="1421"/>
      <c r="L137" s="152"/>
      <c r="M137" s="279"/>
      <c r="N137" s="272"/>
      <c r="O137" s="1545"/>
      <c r="P137" s="1545"/>
      <c r="AH137" s="1552">
        <v>0</v>
      </c>
    </row>
    <row r="138" spans="1:34" s="4267" customFormat="1" ht="31.5" customHeight="1">
      <c r="A138" s="1700" t="s">
        <v>296</v>
      </c>
      <c r="B138" s="1700" t="s">
        <v>297</v>
      </c>
      <c r="C138" s="307"/>
      <c r="D138" s="5627"/>
      <c r="E138" s="5426"/>
      <c r="F138" s="5566" t="str">
        <f>INDEX(PT_DIFFERENTIATION_VTAR,MATCH(A138,PT_DIFFERENTIATION_VTAR_ID,0))</f>
        <v>Тариф на водоотведение</v>
      </c>
      <c r="G138" s="5602" t="str">
        <f>INDEX(PT_DIFFERENTIATION_NTAR,MATCH(B138,PT_DIFFERENTIATION_NTAR_ID,0))</f>
        <v>Тариф на водоотведение</v>
      </c>
      <c r="H138" s="1780"/>
      <c r="I138" s="4254">
        <v>45658.692002314812</v>
      </c>
      <c r="J138" s="4255">
        <v>46022.692094907405</v>
      </c>
      <c r="K138" s="1698">
        <v>305205.42</v>
      </c>
      <c r="L138" s="1780" t="s">
        <v>399</v>
      </c>
      <c r="M138" s="279"/>
      <c r="N138" s="272"/>
      <c r="O138" s="1545"/>
      <c r="P138" s="1545"/>
      <c r="AH138" s="1552">
        <v>0</v>
      </c>
    </row>
    <row r="139" spans="1:34" s="4307" customFormat="1" ht="27" customHeight="1">
      <c r="A139" s="2298"/>
      <c r="B139" s="2298"/>
      <c r="C139" s="4257"/>
      <c r="D139" s="5636"/>
      <c r="E139" s="5635"/>
      <c r="F139" s="5635"/>
      <c r="G139" s="5635"/>
      <c r="H139" s="2131" t="s">
        <v>104</v>
      </c>
      <c r="I139" s="4254">
        <v>46023.692303240743</v>
      </c>
      <c r="J139" s="4255">
        <v>46387.692395833335</v>
      </c>
      <c r="K139" s="4258">
        <v>287130.14</v>
      </c>
      <c r="L139" s="2132" t="s">
        <v>399</v>
      </c>
      <c r="M139" s="4259"/>
      <c r="N139" s="4260"/>
      <c r="O139" s="2207"/>
      <c r="P139" s="2207"/>
      <c r="Q139" s="2054"/>
      <c r="R139" s="2054"/>
      <c r="S139" s="2054"/>
      <c r="T139" s="2054"/>
      <c r="U139" s="2054"/>
      <c r="V139" s="2054"/>
      <c r="W139" s="2054"/>
      <c r="X139" s="2054"/>
      <c r="Y139" s="2054"/>
      <c r="Z139" s="2054"/>
      <c r="AA139" s="2054"/>
      <c r="AB139" s="2054"/>
      <c r="AC139" s="2054"/>
      <c r="AD139" s="2054"/>
      <c r="AE139" s="2054"/>
      <c r="AF139" s="2054"/>
      <c r="AG139" s="2054"/>
      <c r="AH139" s="2054">
        <v>0</v>
      </c>
    </row>
    <row r="140" spans="1:34" s="4307" customFormat="1" ht="30.75" customHeight="1">
      <c r="A140" s="2298"/>
      <c r="B140" s="2298"/>
      <c r="C140" s="4257"/>
      <c r="D140" s="5636"/>
      <c r="E140" s="5635"/>
      <c r="F140" s="5635"/>
      <c r="G140" s="5635"/>
      <c r="H140" s="2131" t="s">
        <v>104</v>
      </c>
      <c r="I140" s="4254">
        <v>46388.692615740743</v>
      </c>
      <c r="J140" s="4255">
        <v>46752.692719907405</v>
      </c>
      <c r="K140" s="4258">
        <v>295130.71999999997</v>
      </c>
      <c r="L140" s="2132" t="s">
        <v>399</v>
      </c>
      <c r="M140" s="4259"/>
      <c r="N140" s="4260"/>
      <c r="O140" s="2207"/>
      <c r="P140" s="2207"/>
      <c r="Q140" s="2054"/>
      <c r="R140" s="2054"/>
      <c r="S140" s="2054"/>
      <c r="T140" s="2054"/>
      <c r="U140" s="2054"/>
      <c r="V140" s="2054"/>
      <c r="W140" s="2054"/>
      <c r="X140" s="2054"/>
      <c r="Y140" s="2054"/>
      <c r="Z140" s="2054"/>
      <c r="AA140" s="2054"/>
      <c r="AB140" s="2054"/>
      <c r="AC140" s="2054"/>
      <c r="AD140" s="2054"/>
      <c r="AE140" s="2054"/>
      <c r="AF140" s="2054"/>
      <c r="AG140" s="2054"/>
      <c r="AH140" s="2054">
        <v>0</v>
      </c>
    </row>
    <row r="141" spans="1:34" s="4307" customFormat="1" ht="29.25" customHeight="1">
      <c r="A141" s="2298"/>
      <c r="B141" s="2298"/>
      <c r="C141" s="4257"/>
      <c r="D141" s="5636"/>
      <c r="E141" s="5635"/>
      <c r="F141" s="5635"/>
      <c r="G141" s="5635"/>
      <c r="H141" s="2131" t="s">
        <v>104</v>
      </c>
      <c r="I141" s="4254">
        <v>46753.692939814813</v>
      </c>
      <c r="J141" s="4255">
        <v>47118.693101851852</v>
      </c>
      <c r="K141" s="4258">
        <v>303368.12</v>
      </c>
      <c r="L141" s="2132" t="s">
        <v>399</v>
      </c>
      <c r="M141" s="4259"/>
      <c r="N141" s="4260"/>
      <c r="O141" s="2207"/>
      <c r="P141" s="2207"/>
      <c r="Q141" s="2054"/>
      <c r="R141" s="2054"/>
      <c r="S141" s="2054"/>
      <c r="T141" s="2054"/>
      <c r="U141" s="2054"/>
      <c r="V141" s="2054"/>
      <c r="W141" s="2054"/>
      <c r="X141" s="2054"/>
      <c r="Y141" s="2054"/>
      <c r="Z141" s="2054"/>
      <c r="AA141" s="2054"/>
      <c r="AB141" s="2054"/>
      <c r="AC141" s="2054"/>
      <c r="AD141" s="2054"/>
      <c r="AE141" s="2054"/>
      <c r="AF141" s="2054"/>
      <c r="AG141" s="2054"/>
      <c r="AH141" s="2054">
        <v>0</v>
      </c>
    </row>
    <row r="142" spans="1:34" s="4267" customFormat="1" ht="18.75" customHeight="1">
      <c r="A142" s="1700"/>
      <c r="B142" s="1700"/>
      <c r="C142" s="307" t="s">
        <v>1237</v>
      </c>
      <c r="D142" s="5627"/>
      <c r="E142" s="5426"/>
      <c r="F142" s="5566"/>
      <c r="G142" s="5602"/>
      <c r="H142" s="1421"/>
      <c r="I142" s="589" t="s">
        <v>1236</v>
      </c>
      <c r="J142" s="509"/>
      <c r="K142" s="1421"/>
      <c r="L142" s="152"/>
      <c r="M142" s="279"/>
      <c r="N142" s="272"/>
      <c r="O142" s="1545"/>
      <c r="P142" s="1545"/>
      <c r="AH142" s="1552">
        <v>0</v>
      </c>
    </row>
    <row r="143" spans="1:34" s="4267" customFormat="1" ht="0.75" customHeight="1">
      <c r="A143" s="1700"/>
      <c r="B143" s="1700"/>
      <c r="C143" s="307" t="s">
        <v>1246</v>
      </c>
      <c r="D143" s="5627"/>
      <c r="E143" s="5426"/>
      <c r="F143" s="5566"/>
      <c r="G143" s="338"/>
      <c r="H143" s="1421"/>
      <c r="I143" s="589"/>
      <c r="J143" s="509"/>
      <c r="K143" s="1421"/>
      <c r="L143" s="152"/>
      <c r="M143" s="279"/>
      <c r="N143" s="272"/>
      <c r="O143" s="1545"/>
      <c r="P143" s="1545"/>
      <c r="AH143" s="1552">
        <v>0</v>
      </c>
    </row>
    <row r="144" spans="1:34" s="4267" customFormat="1" ht="18.75" hidden="1" customHeight="1">
      <c r="A144" s="1700" t="s">
        <v>363</v>
      </c>
      <c r="B144" s="1700" t="s">
        <v>364</v>
      </c>
      <c r="C144" s="307"/>
      <c r="D144" s="5627"/>
      <c r="E144" s="5426"/>
      <c r="F144" s="5566" t="str">
        <f>INDEX(PT_DIFFERENTIATION_VTAR,MATCH(A144,PT_DIFFERENTIATION_VTAR_ID,0))</f>
        <v>Тариф на транспортировку сточных вод</v>
      </c>
      <c r="G144" s="5602" t="str">
        <f>INDEX(PT_DIFFERENTIATION_NTAR,MATCH(B144,PT_DIFFERENTIATION_NTAR_ID,0))</f>
        <v/>
      </c>
      <c r="H144" s="1780"/>
      <c r="I144" s="1659"/>
      <c r="J144" s="1693"/>
      <c r="K144" s="1698"/>
      <c r="L144" s="1780" t="s">
        <v>399</v>
      </c>
      <c r="M144" s="279"/>
      <c r="N144" s="272"/>
      <c r="O144" s="1545"/>
      <c r="P144" s="1545"/>
      <c r="AH144" s="1552">
        <v>0</v>
      </c>
    </row>
    <row r="145" spans="1:34" s="4267" customFormat="1" ht="18.75" hidden="1" customHeight="1">
      <c r="A145" s="1700"/>
      <c r="B145" s="1700"/>
      <c r="C145" s="307" t="s">
        <v>1237</v>
      </c>
      <c r="D145" s="5627"/>
      <c r="E145" s="5426"/>
      <c r="F145" s="5566"/>
      <c r="G145" s="5602"/>
      <c r="H145" s="1421"/>
      <c r="I145" s="589" t="s">
        <v>1236</v>
      </c>
      <c r="J145" s="509"/>
      <c r="K145" s="1421"/>
      <c r="L145" s="152"/>
      <c r="M145" s="279"/>
      <c r="N145" s="272"/>
      <c r="O145" s="1545"/>
      <c r="P145" s="1545"/>
      <c r="AH145" s="1552">
        <v>0</v>
      </c>
    </row>
    <row r="146" spans="1:34" s="4267" customFormat="1" ht="0.75" hidden="1" customHeight="1">
      <c r="A146" s="1700"/>
      <c r="B146" s="1700"/>
      <c r="C146" s="307" t="s">
        <v>1246</v>
      </c>
      <c r="D146" s="5627"/>
      <c r="E146" s="5426"/>
      <c r="F146" s="5566"/>
      <c r="G146" s="338"/>
      <c r="H146" s="1421"/>
      <c r="I146" s="589"/>
      <c r="J146" s="509"/>
      <c r="K146" s="1421"/>
      <c r="L146" s="152"/>
      <c r="M146" s="279"/>
      <c r="N146" s="272"/>
      <c r="O146" s="1545"/>
      <c r="P146" s="1545"/>
      <c r="AH146" s="1552">
        <v>0</v>
      </c>
    </row>
    <row r="147" spans="1:34" s="4267" customFormat="1" ht="18.75" hidden="1" customHeight="1">
      <c r="A147" s="1700" t="s">
        <v>368</v>
      </c>
      <c r="B147" s="1700" t="s">
        <v>369</v>
      </c>
      <c r="C147" s="307"/>
      <c r="D147" s="5627"/>
      <c r="E147" s="5426"/>
      <c r="F147" s="5566" t="str">
        <f>INDEX(PT_DIFFERENTIATION_VTAR,MATCH(A147,PT_DIFFERENTIATION_VTAR_ID,0))</f>
        <v>Тариф на подключение (технологическое присоединение) к централизованной системе водоотведения</v>
      </c>
      <c r="G147" s="5602" t="str">
        <f>INDEX(PT_DIFFERENTIATION_NTAR,MATCH(B147,PT_DIFFERENTIATION_NTAR_ID,0))</f>
        <v/>
      </c>
      <c r="H147" s="1780"/>
      <c r="I147" s="1659"/>
      <c r="J147" s="1693"/>
      <c r="K147" s="1698"/>
      <c r="L147" s="1780" t="s">
        <v>399</v>
      </c>
      <c r="M147" s="279"/>
      <c r="N147" s="272"/>
      <c r="O147" s="1545"/>
      <c r="P147" s="1545"/>
      <c r="AH147" s="1552">
        <v>0</v>
      </c>
    </row>
    <row r="148" spans="1:34" s="4267" customFormat="1" ht="18.75" hidden="1" customHeight="1">
      <c r="A148" s="1700"/>
      <c r="B148" s="1700"/>
      <c r="C148" s="307" t="s">
        <v>1237</v>
      </c>
      <c r="D148" s="5627"/>
      <c r="E148" s="5426"/>
      <c r="F148" s="5566"/>
      <c r="G148" s="5602"/>
      <c r="H148" s="1421"/>
      <c r="I148" s="589" t="s">
        <v>1236</v>
      </c>
      <c r="J148" s="509"/>
      <c r="K148" s="1421"/>
      <c r="L148" s="152"/>
      <c r="M148" s="279"/>
      <c r="N148" s="272"/>
      <c r="O148" s="1545"/>
      <c r="P148" s="1545"/>
      <c r="AH148" s="1552">
        <v>0</v>
      </c>
    </row>
    <row r="149" spans="1:34" s="4267" customFormat="1" ht="1.1499999999999999" customHeight="1">
      <c r="A149" s="1700"/>
      <c r="B149" s="1700"/>
      <c r="C149" s="307" t="s">
        <v>1246</v>
      </c>
      <c r="D149" s="5627"/>
      <c r="E149" s="5426"/>
      <c r="F149" s="5566"/>
      <c r="G149" s="338"/>
      <c r="H149" s="1421"/>
      <c r="I149" s="589"/>
      <c r="J149" s="509"/>
      <c r="K149" s="1421"/>
      <c r="L149" s="152"/>
      <c r="M149" s="279"/>
      <c r="N149" s="272"/>
      <c r="O149" s="1545"/>
      <c r="P149" s="1545"/>
      <c r="AH149" s="1552">
        <v>1</v>
      </c>
    </row>
    <row r="150" spans="1:34" ht="19.899999999999999" customHeight="1">
      <c r="A150" s="1700"/>
      <c r="B150" s="1700"/>
      <c r="D150" s="314"/>
      <c r="E150" s="86" t="s">
        <v>91</v>
      </c>
      <c r="F150" s="562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50" s="5626"/>
      <c r="H150" s="5626"/>
      <c r="I150" s="5626"/>
      <c r="J150" s="5626"/>
      <c r="K150" s="5626"/>
      <c r="L150" s="5626"/>
      <c r="M150" s="235"/>
      <c r="N150" s="272"/>
      <c r="AH150" s="312">
        <v>19</v>
      </c>
    </row>
    <row r="151" spans="1:34" s="4267" customFormat="1" ht="60.75" hidden="1" customHeight="1">
      <c r="A151" s="1700" t="s">
        <v>186</v>
      </c>
      <c r="B151" s="1700" t="s">
        <v>187</v>
      </c>
      <c r="C151" s="307"/>
      <c r="D151" s="5627"/>
      <c r="E151" s="5426"/>
      <c r="F151" s="5566" t="str">
        <f>INDEX(PT_DIFFERENTIATION_VTAR,MATCH(A151,PT_DIFFERENTIATION_VTAR_ID,0))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1" s="5602" t="str">
        <f>INDEX(PT_DIFFERENTIATION_NTAR,MATCH(B151,PT_DIFFERENTIATION_NTAR_ID,0))</f>
        <v/>
      </c>
      <c r="H151" s="1780"/>
      <c r="I151" s="1659"/>
      <c r="J151" s="1693"/>
      <c r="K151" s="1698"/>
      <c r="L151" s="1780" t="s">
        <v>399</v>
      </c>
      <c r="M151" s="53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1" s="272"/>
      <c r="O151" s="1545"/>
      <c r="P151" s="1545"/>
      <c r="AH151" s="1552">
        <v>0</v>
      </c>
    </row>
    <row r="152" spans="1:34" s="4267" customFormat="1" ht="18.75" hidden="1" customHeight="1">
      <c r="A152" s="1700"/>
      <c r="B152" s="1700"/>
      <c r="C152" s="307" t="s">
        <v>1237</v>
      </c>
      <c r="D152" s="5627"/>
      <c r="E152" s="5426"/>
      <c r="F152" s="5566"/>
      <c r="G152" s="5602"/>
      <c r="H152" s="1421"/>
      <c r="I152" s="589" t="s">
        <v>1236</v>
      </c>
      <c r="J152" s="509"/>
      <c r="K152" s="1421"/>
      <c r="L152" s="152"/>
      <c r="M152" s="5378"/>
      <c r="N152" s="272"/>
      <c r="O152" s="1545"/>
      <c r="P152" s="1545"/>
      <c r="AH152" s="1552">
        <v>0</v>
      </c>
    </row>
    <row r="153" spans="1:34" s="4267" customFormat="1" ht="0.75" hidden="1" customHeight="1">
      <c r="A153" s="1700"/>
      <c r="B153" s="1700"/>
      <c r="C153" s="307" t="s">
        <v>1246</v>
      </c>
      <c r="D153" s="5627"/>
      <c r="E153" s="5426"/>
      <c r="F153" s="5566"/>
      <c r="G153" s="338"/>
      <c r="H153" s="1421"/>
      <c r="I153" s="589"/>
      <c r="J153" s="509"/>
      <c r="K153" s="1421"/>
      <c r="L153" s="152"/>
      <c r="M153" s="5378"/>
      <c r="N153" s="272"/>
      <c r="O153" s="1545"/>
      <c r="P153" s="1545"/>
      <c r="AH153" s="1552">
        <v>0</v>
      </c>
    </row>
    <row r="154" spans="1:34" s="4267" customFormat="1" ht="45" hidden="1" customHeight="1">
      <c r="A154" s="1700" t="s">
        <v>191</v>
      </c>
      <c r="B154" s="1700" t="s">
        <v>192</v>
      </c>
      <c r="C154" s="307"/>
      <c r="D154" s="5627"/>
      <c r="E154" s="5426"/>
      <c r="F154" s="5566" t="str">
        <f>INDEX(PT_DIFFERENTIATION_VTAR,MATCH(A154,PT_DIFFERENTIATION_VTAR_ID,0))</f>
        <v/>
      </c>
      <c r="G154" s="5602" t="str">
        <f>INDEX(PT_DIFFERENTIATION_NTAR,MATCH(B154,PT_DIFFERENTIATION_NTAR_ID,0))</f>
        <v/>
      </c>
      <c r="H154" s="1780"/>
      <c r="I154" s="1659"/>
      <c r="J154" s="1693"/>
      <c r="K154" s="1698"/>
      <c r="L154" s="1780" t="s">
        <v>399</v>
      </c>
      <c r="M154" s="5379"/>
      <c r="N154" s="272"/>
      <c r="O154" s="1545"/>
      <c r="P154" s="1545"/>
      <c r="AH154" s="1552">
        <v>0</v>
      </c>
    </row>
    <row r="155" spans="1:34" s="4267" customFormat="1" ht="18.75" hidden="1" customHeight="1">
      <c r="A155" s="1700"/>
      <c r="B155" s="1700"/>
      <c r="C155" s="307" t="s">
        <v>1237</v>
      </c>
      <c r="D155" s="5627"/>
      <c r="E155" s="5426"/>
      <c r="F155" s="5566"/>
      <c r="G155" s="5602"/>
      <c r="H155" s="1421"/>
      <c r="I155" s="589" t="s">
        <v>1236</v>
      </c>
      <c r="J155" s="509"/>
      <c r="K155" s="1421"/>
      <c r="L155" s="152"/>
      <c r="M155" s="1779"/>
      <c r="N155" s="272"/>
      <c r="O155" s="1545"/>
      <c r="P155" s="1545"/>
      <c r="AH155" s="1552">
        <v>0</v>
      </c>
    </row>
    <row r="156" spans="1:34" s="4267" customFormat="1" ht="0.75" hidden="1" customHeight="1">
      <c r="A156" s="1700"/>
      <c r="B156" s="1700"/>
      <c r="C156" s="307" t="s">
        <v>1246</v>
      </c>
      <c r="D156" s="5627"/>
      <c r="E156" s="5426"/>
      <c r="F156" s="5566"/>
      <c r="G156" s="338"/>
      <c r="H156" s="1421"/>
      <c r="I156" s="589"/>
      <c r="J156" s="509"/>
      <c r="K156" s="1421"/>
      <c r="L156" s="152"/>
      <c r="M156" s="279"/>
      <c r="N156" s="272"/>
      <c r="O156" s="1545"/>
      <c r="P156" s="1545"/>
      <c r="AH156" s="1552">
        <v>0</v>
      </c>
    </row>
    <row r="157" spans="1:34" s="4267" customFormat="1" ht="45" hidden="1" customHeight="1">
      <c r="A157" s="1700" t="s">
        <v>198</v>
      </c>
      <c r="B157" s="1700" t="s">
        <v>199</v>
      </c>
      <c r="C157" s="307"/>
      <c r="D157" s="5627"/>
      <c r="E157" s="5426"/>
      <c r="F157" s="5566" t="str">
        <f>INDEX(PT_DIFFERENTIATION_VTAR,MATCH(A157,PT_DIFFERENTIATION_VTAR_ID,0))</f>
        <v>Тарифы на теплоноситель, поставляемый теплоснабжающими организациями потребителям, другим теплоснабжающим организациям</v>
      </c>
      <c r="G157" s="5602" t="str">
        <f>INDEX(PT_DIFFERENTIATION_NTAR,MATCH(B157,PT_DIFFERENTIATION_NTAR_ID,0))</f>
        <v/>
      </c>
      <c r="H157" s="1780"/>
      <c r="I157" s="1659"/>
      <c r="J157" s="1693"/>
      <c r="K157" s="1698"/>
      <c r="L157" s="1780" t="s">
        <v>399</v>
      </c>
      <c r="M157" s="279"/>
      <c r="N157" s="272"/>
      <c r="O157" s="1545"/>
      <c r="P157" s="1545"/>
      <c r="AH157" s="1552">
        <v>0</v>
      </c>
    </row>
    <row r="158" spans="1:34" s="4267" customFormat="1" ht="18.75" hidden="1" customHeight="1">
      <c r="A158" s="1700"/>
      <c r="B158" s="1700"/>
      <c r="C158" s="307" t="s">
        <v>1237</v>
      </c>
      <c r="D158" s="5627"/>
      <c r="E158" s="5426"/>
      <c r="F158" s="5566"/>
      <c r="G158" s="5602"/>
      <c r="H158" s="1421"/>
      <c r="I158" s="589" t="s">
        <v>1236</v>
      </c>
      <c r="J158" s="509"/>
      <c r="K158" s="1421"/>
      <c r="L158" s="152"/>
      <c r="M158" s="279"/>
      <c r="N158" s="272"/>
      <c r="O158" s="1545"/>
      <c r="P158" s="1545"/>
      <c r="AH158" s="1552">
        <v>0</v>
      </c>
    </row>
    <row r="159" spans="1:34" s="4267" customFormat="1" ht="0.75" hidden="1" customHeight="1">
      <c r="A159" s="1700"/>
      <c r="B159" s="1700"/>
      <c r="C159" s="307" t="s">
        <v>1246</v>
      </c>
      <c r="D159" s="5627"/>
      <c r="E159" s="5426"/>
      <c r="F159" s="5566"/>
      <c r="G159" s="338"/>
      <c r="H159" s="1421"/>
      <c r="I159" s="589"/>
      <c r="J159" s="509"/>
      <c r="K159" s="1421"/>
      <c r="L159" s="152"/>
      <c r="M159" s="279"/>
      <c r="N159" s="272"/>
      <c r="O159" s="1545"/>
      <c r="P159" s="1545"/>
      <c r="AH159" s="1552">
        <v>0</v>
      </c>
    </row>
    <row r="160" spans="1:34" s="4267" customFormat="1" ht="45" hidden="1" customHeight="1">
      <c r="A160" s="1700" t="s">
        <v>204</v>
      </c>
      <c r="B160" s="1700" t="s">
        <v>205</v>
      </c>
      <c r="C160" s="307"/>
      <c r="D160" s="5627"/>
      <c r="E160" s="5426"/>
      <c r="F160" s="5566" t="str">
        <f>INDEX(PT_DIFFERENTIATION_VTAR,MATCH(A160,PT_DIFFERENTIATION_VTAR_ID,0))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0" s="5602" t="str">
        <f>INDEX(PT_DIFFERENTIATION_NTAR,MATCH(B160,PT_DIFFERENTIATION_NTAR_ID,0))</f>
        <v/>
      </c>
      <c r="H160" s="1780"/>
      <c r="I160" s="1659"/>
      <c r="J160" s="1693"/>
      <c r="K160" s="1698"/>
      <c r="L160" s="1780" t="s">
        <v>399</v>
      </c>
      <c r="M160" s="279"/>
      <c r="N160" s="272"/>
      <c r="O160" s="1545"/>
      <c r="P160" s="1545"/>
      <c r="AH160" s="1552">
        <v>0</v>
      </c>
    </row>
    <row r="161" spans="1:34" s="4267" customFormat="1" ht="18.75" hidden="1" customHeight="1">
      <c r="A161" s="1700"/>
      <c r="B161" s="1700"/>
      <c r="C161" s="307" t="s">
        <v>1237</v>
      </c>
      <c r="D161" s="5627"/>
      <c r="E161" s="5426"/>
      <c r="F161" s="5566"/>
      <c r="G161" s="5602"/>
      <c r="H161" s="1421"/>
      <c r="I161" s="589" t="s">
        <v>1236</v>
      </c>
      <c r="J161" s="509"/>
      <c r="K161" s="1421"/>
      <c r="L161" s="152"/>
      <c r="M161" s="279"/>
      <c r="N161" s="272"/>
      <c r="O161" s="1545"/>
      <c r="P161" s="1545"/>
      <c r="AH161" s="1552">
        <v>0</v>
      </c>
    </row>
    <row r="162" spans="1:34" s="4267" customFormat="1" ht="0.75" hidden="1" customHeight="1">
      <c r="A162" s="1700"/>
      <c r="B162" s="1700"/>
      <c r="C162" s="307" t="s">
        <v>1246</v>
      </c>
      <c r="D162" s="5627"/>
      <c r="E162" s="5426"/>
      <c r="F162" s="5566"/>
      <c r="G162" s="338"/>
      <c r="H162" s="1421"/>
      <c r="I162" s="589"/>
      <c r="J162" s="509"/>
      <c r="K162" s="1421"/>
      <c r="L162" s="152"/>
      <c r="M162" s="279"/>
      <c r="N162" s="272"/>
      <c r="O162" s="1545"/>
      <c r="P162" s="1545"/>
      <c r="AH162" s="1552">
        <v>0</v>
      </c>
    </row>
    <row r="163" spans="1:34" s="4267" customFormat="1" ht="18.75" hidden="1" customHeight="1">
      <c r="A163" s="1700" t="s">
        <v>210</v>
      </c>
      <c r="B163" s="1700" t="s">
        <v>211</v>
      </c>
      <c r="C163" s="307"/>
      <c r="D163" s="5627"/>
      <c r="E163" s="5426"/>
      <c r="F163" s="5566" t="str">
        <f>INDEX(PT_DIFFERENTIATION_VTAR,MATCH(A163,PT_DIFFERENTIATION_VTAR_ID,0))</f>
        <v>Тарифы на услуги по передаче тепловой энергии</v>
      </c>
      <c r="G163" s="5602" t="str">
        <f>INDEX(PT_DIFFERENTIATION_NTAR,MATCH(B163,PT_DIFFERENTIATION_NTAR_ID,0))</f>
        <v/>
      </c>
      <c r="H163" s="1780"/>
      <c r="I163" s="1659"/>
      <c r="J163" s="1693"/>
      <c r="K163" s="1698"/>
      <c r="L163" s="1780" t="s">
        <v>399</v>
      </c>
      <c r="M163" s="279"/>
      <c r="N163" s="272"/>
      <c r="O163" s="1545"/>
      <c r="P163" s="1545"/>
      <c r="AH163" s="1552">
        <v>0</v>
      </c>
    </row>
    <row r="164" spans="1:34" s="4267" customFormat="1" ht="18.75" hidden="1" customHeight="1">
      <c r="A164" s="1700"/>
      <c r="B164" s="1700"/>
      <c r="C164" s="307" t="s">
        <v>1237</v>
      </c>
      <c r="D164" s="5627"/>
      <c r="E164" s="5426"/>
      <c r="F164" s="5566"/>
      <c r="G164" s="5602"/>
      <c r="H164" s="1421"/>
      <c r="I164" s="589" t="s">
        <v>1236</v>
      </c>
      <c r="J164" s="509"/>
      <c r="K164" s="1421"/>
      <c r="L164" s="152"/>
      <c r="M164" s="279"/>
      <c r="N164" s="272"/>
      <c r="O164" s="1545"/>
      <c r="P164" s="1545"/>
      <c r="AH164" s="1552">
        <v>0</v>
      </c>
    </row>
    <row r="165" spans="1:34" s="4267" customFormat="1" ht="0.75" hidden="1" customHeight="1">
      <c r="A165" s="1700"/>
      <c r="B165" s="1700"/>
      <c r="C165" s="307" t="s">
        <v>1246</v>
      </c>
      <c r="D165" s="5627"/>
      <c r="E165" s="5426"/>
      <c r="F165" s="5566"/>
      <c r="G165" s="338"/>
      <c r="H165" s="1421"/>
      <c r="I165" s="589"/>
      <c r="J165" s="509"/>
      <c r="K165" s="1421"/>
      <c r="L165" s="152"/>
      <c r="M165" s="279"/>
      <c r="N165" s="272"/>
      <c r="O165" s="1545"/>
      <c r="P165" s="1545"/>
      <c r="AH165" s="1552">
        <v>0</v>
      </c>
    </row>
    <row r="166" spans="1:34" s="4267" customFormat="1" ht="18.75" hidden="1" customHeight="1">
      <c r="A166" s="1700" t="s">
        <v>216</v>
      </c>
      <c r="B166" s="1700" t="s">
        <v>217</v>
      </c>
      <c r="C166" s="307"/>
      <c r="D166" s="5627"/>
      <c r="E166" s="5426"/>
      <c r="F166" s="5566" t="str">
        <f>INDEX(PT_DIFFERENTIATION_VTAR,MATCH(A166,PT_DIFFERENTIATION_VTAR_ID,0))</f>
        <v>Тарифы на услуги по передаче теплоносителя</v>
      </c>
      <c r="G166" s="5602" t="str">
        <f>INDEX(PT_DIFFERENTIATION_NTAR,MATCH(B166,PT_DIFFERENTIATION_NTAR_ID,0))</f>
        <v/>
      </c>
      <c r="H166" s="1780"/>
      <c r="I166" s="1659"/>
      <c r="J166" s="1693"/>
      <c r="K166" s="1698"/>
      <c r="L166" s="1780" t="s">
        <v>399</v>
      </c>
      <c r="M166" s="279"/>
      <c r="N166" s="272"/>
      <c r="O166" s="1545"/>
      <c r="P166" s="1545"/>
      <c r="AH166" s="1552">
        <v>0</v>
      </c>
    </row>
    <row r="167" spans="1:34" s="4267" customFormat="1" ht="18.75" hidden="1" customHeight="1">
      <c r="A167" s="1700"/>
      <c r="B167" s="1700"/>
      <c r="C167" s="307" t="s">
        <v>1237</v>
      </c>
      <c r="D167" s="5627"/>
      <c r="E167" s="5426"/>
      <c r="F167" s="5566"/>
      <c r="G167" s="5602"/>
      <c r="H167" s="1421"/>
      <c r="I167" s="589" t="s">
        <v>1236</v>
      </c>
      <c r="J167" s="509"/>
      <c r="K167" s="1421"/>
      <c r="L167" s="152"/>
      <c r="M167" s="279"/>
      <c r="N167" s="272"/>
      <c r="O167" s="1545"/>
      <c r="P167" s="1545"/>
      <c r="AH167" s="1552">
        <v>0</v>
      </c>
    </row>
    <row r="168" spans="1:34" s="4267" customFormat="1" ht="0.75" hidden="1" customHeight="1">
      <c r="A168" s="1700"/>
      <c r="B168" s="1700"/>
      <c r="C168" s="307" t="s">
        <v>1246</v>
      </c>
      <c r="D168" s="5627"/>
      <c r="E168" s="5426"/>
      <c r="F168" s="5566"/>
      <c r="G168" s="338"/>
      <c r="H168" s="1421"/>
      <c r="I168" s="589"/>
      <c r="J168" s="509"/>
      <c r="K168" s="1421"/>
      <c r="L168" s="152"/>
      <c r="M168" s="279"/>
      <c r="N168" s="272"/>
      <c r="O168" s="1545"/>
      <c r="P168" s="1545"/>
      <c r="AH168" s="1552">
        <v>0</v>
      </c>
    </row>
    <row r="169" spans="1:34" s="4267" customFormat="1" ht="18.75" hidden="1" customHeight="1">
      <c r="A169" s="1700" t="s">
        <v>222</v>
      </c>
      <c r="B169" s="1700" t="s">
        <v>223</v>
      </c>
      <c r="C169" s="307"/>
      <c r="D169" s="5627"/>
      <c r="E169" s="5426"/>
      <c r="F169" s="5566" t="str">
        <f>INDEX(PT_DIFFERENTIATION_VTAR,MATCH(A169,PT_DIFFERENTIATION_VTAR_ID,0))</f>
        <v>Плата за услуги по поддержанию резервной тепловой мощности при отсутствии потребления тепловой энергии</v>
      </c>
      <c r="G169" s="5602" t="str">
        <f>INDEX(PT_DIFFERENTIATION_NTAR,MATCH(B169,PT_DIFFERENTIATION_NTAR_ID,0))</f>
        <v/>
      </c>
      <c r="H169" s="1780"/>
      <c r="I169" s="1659"/>
      <c r="J169" s="1693"/>
      <c r="K169" s="1698"/>
      <c r="L169" s="1780" t="s">
        <v>399</v>
      </c>
      <c r="M169" s="279"/>
      <c r="N169" s="272"/>
      <c r="O169" s="1545"/>
      <c r="P169" s="1545"/>
      <c r="AH169" s="1552">
        <v>0</v>
      </c>
    </row>
    <row r="170" spans="1:34" s="4267" customFormat="1" ht="18.75" hidden="1" customHeight="1">
      <c r="A170" s="1700"/>
      <c r="B170" s="1700"/>
      <c r="C170" s="307" t="s">
        <v>1237</v>
      </c>
      <c r="D170" s="5627"/>
      <c r="E170" s="5426"/>
      <c r="F170" s="5566"/>
      <c r="G170" s="5602"/>
      <c r="H170" s="1421"/>
      <c r="I170" s="589" t="s">
        <v>1236</v>
      </c>
      <c r="J170" s="509"/>
      <c r="K170" s="1421"/>
      <c r="L170" s="152"/>
      <c r="M170" s="279"/>
      <c r="N170" s="272"/>
      <c r="O170" s="1545"/>
      <c r="P170" s="1545"/>
      <c r="AH170" s="1552">
        <v>0</v>
      </c>
    </row>
    <row r="171" spans="1:34" s="4267" customFormat="1" ht="0.75" hidden="1" customHeight="1">
      <c r="A171" s="1700"/>
      <c r="B171" s="1700"/>
      <c r="C171" s="307" t="s">
        <v>1246</v>
      </c>
      <c r="D171" s="5627"/>
      <c r="E171" s="5426"/>
      <c r="F171" s="5566"/>
      <c r="G171" s="338"/>
      <c r="H171" s="1421"/>
      <c r="I171" s="589"/>
      <c r="J171" s="509"/>
      <c r="K171" s="1421"/>
      <c r="L171" s="152"/>
      <c r="M171" s="279"/>
      <c r="N171" s="272"/>
      <c r="O171" s="1545"/>
      <c r="P171" s="1545"/>
      <c r="AH171" s="1552">
        <v>0</v>
      </c>
    </row>
    <row r="172" spans="1:34" s="4267" customFormat="1" ht="18.75" hidden="1" customHeight="1">
      <c r="A172" s="1700" t="s">
        <v>228</v>
      </c>
      <c r="B172" s="1700" t="s">
        <v>229</v>
      </c>
      <c r="C172" s="307"/>
      <c r="D172" s="5627"/>
      <c r="E172" s="5426"/>
      <c r="F172" s="5566" t="str">
        <f>INDEX(PT_DIFFERENTIATION_VTAR,MATCH(A172,PT_DIFFERENTIATION_VTAR_ID,0))</f>
        <v>Плата за подключение (технологическое присоединение) к системе теплоснабжения</v>
      </c>
      <c r="G172" s="5602" t="str">
        <f>INDEX(PT_DIFFERENTIATION_NTAR,MATCH(B172,PT_DIFFERENTIATION_NTAR_ID,0))</f>
        <v/>
      </c>
      <c r="H172" s="1780"/>
      <c r="I172" s="1659"/>
      <c r="J172" s="1693"/>
      <c r="K172" s="1698"/>
      <c r="L172" s="1780" t="s">
        <v>399</v>
      </c>
      <c r="M172" s="279"/>
      <c r="N172" s="272"/>
      <c r="O172" s="1545"/>
      <c r="P172" s="1545"/>
      <c r="AH172" s="1552">
        <v>0</v>
      </c>
    </row>
    <row r="173" spans="1:34" s="4267" customFormat="1" ht="18.75" hidden="1" customHeight="1">
      <c r="A173" s="1700"/>
      <c r="B173" s="1700"/>
      <c r="C173" s="307" t="s">
        <v>1237</v>
      </c>
      <c r="D173" s="5627"/>
      <c r="E173" s="5426"/>
      <c r="F173" s="5566"/>
      <c r="G173" s="5602"/>
      <c r="H173" s="1421"/>
      <c r="I173" s="589" t="s">
        <v>1236</v>
      </c>
      <c r="J173" s="509"/>
      <c r="K173" s="1421"/>
      <c r="L173" s="152"/>
      <c r="M173" s="279"/>
      <c r="N173" s="272"/>
      <c r="O173" s="1545"/>
      <c r="P173" s="1545"/>
      <c r="AH173" s="1552">
        <v>0</v>
      </c>
    </row>
    <row r="174" spans="1:34" s="4267" customFormat="1" ht="0.75" hidden="1" customHeight="1">
      <c r="A174" s="1700"/>
      <c r="B174" s="1700"/>
      <c r="C174" s="307" t="s">
        <v>1246</v>
      </c>
      <c r="D174" s="5627"/>
      <c r="E174" s="5426"/>
      <c r="F174" s="5566"/>
      <c r="G174" s="338"/>
      <c r="H174" s="1421"/>
      <c r="I174" s="589"/>
      <c r="J174" s="509"/>
      <c r="K174" s="1421"/>
      <c r="L174" s="152"/>
      <c r="M174" s="279"/>
      <c r="N174" s="272"/>
      <c r="O174" s="1545"/>
      <c r="P174" s="1545"/>
      <c r="AH174" s="1552">
        <v>0</v>
      </c>
    </row>
    <row r="175" spans="1:34" s="4267" customFormat="1" ht="18.75" hidden="1" customHeight="1">
      <c r="A175" s="1700" t="s">
        <v>234</v>
      </c>
      <c r="B175" s="1700" t="s">
        <v>235</v>
      </c>
      <c r="C175" s="307"/>
      <c r="D175" s="5627"/>
      <c r="E175" s="5426"/>
      <c r="F175" s="5566" t="str">
        <f>INDEX(PT_DIFFERENTIATION_VTAR,MATCH(A175,PT_DIFFERENTIATION_VTAR_ID,0))</f>
        <v>Плата за подключение (технологическое присоединение) к системе теплоснабжения (индивидуальная)</v>
      </c>
      <c r="G175" s="5602" t="str">
        <f>INDEX(PT_DIFFERENTIATION_NTAR,MATCH(B175,PT_DIFFERENTIATION_NTAR_ID,0))</f>
        <v/>
      </c>
      <c r="H175" s="1904"/>
      <c r="I175" s="1659"/>
      <c r="J175" s="1693"/>
      <c r="K175" s="1698"/>
      <c r="L175" s="1904" t="s">
        <v>399</v>
      </c>
      <c r="M175" s="279"/>
      <c r="N175" s="272"/>
      <c r="O175" s="1545"/>
      <c r="P175" s="1545"/>
      <c r="AH175" s="1552">
        <v>0</v>
      </c>
    </row>
    <row r="176" spans="1:34" s="4267" customFormat="1" ht="18.75" hidden="1" customHeight="1">
      <c r="A176" s="1700"/>
      <c r="B176" s="1700"/>
      <c r="C176" s="307" t="s">
        <v>1237</v>
      </c>
      <c r="D176" s="5627"/>
      <c r="E176" s="5426"/>
      <c r="F176" s="5566"/>
      <c r="G176" s="5602"/>
      <c r="H176" s="1421"/>
      <c r="I176" s="589" t="s">
        <v>1236</v>
      </c>
      <c r="J176" s="509"/>
      <c r="K176" s="1421"/>
      <c r="L176" s="152"/>
      <c r="M176" s="279"/>
      <c r="N176" s="272"/>
      <c r="O176" s="1545"/>
      <c r="P176" s="1545"/>
      <c r="AH176" s="1552">
        <v>0</v>
      </c>
    </row>
    <row r="177" spans="1:34" s="4267" customFormat="1" ht="0.75" hidden="1" customHeight="1">
      <c r="A177" s="1700"/>
      <c r="B177" s="1700"/>
      <c r="C177" s="307" t="s">
        <v>1246</v>
      </c>
      <c r="D177" s="5627"/>
      <c r="E177" s="5426"/>
      <c r="F177" s="5566"/>
      <c r="G177" s="338"/>
      <c r="H177" s="1421"/>
      <c r="I177" s="589"/>
      <c r="J177" s="509"/>
      <c r="K177" s="1421"/>
      <c r="L177" s="152"/>
      <c r="M177" s="279"/>
      <c r="N177" s="272"/>
      <c r="O177" s="1545"/>
      <c r="P177" s="1545"/>
      <c r="AH177" s="1552">
        <v>0</v>
      </c>
    </row>
    <row r="178" spans="1:34" s="4267" customFormat="1" ht="18.75" hidden="1" customHeight="1">
      <c r="A178" s="1700" t="s">
        <v>254</v>
      </c>
      <c r="B178" s="1700" t="s">
        <v>255</v>
      </c>
      <c r="C178" s="307"/>
      <c r="D178" s="5627"/>
      <c r="E178" s="5426"/>
      <c r="F178" s="5566" t="str">
        <f>INDEX(PT_DIFFERENTIATION_VTAR,MATCH(A178,PT_DIFFERENTIATION_VTAR_ID,0))</f>
        <v>Тариф на питьевую воду (питьевое водоснабжение)</v>
      </c>
      <c r="G178" s="5602" t="str">
        <f>INDEX(PT_DIFFERENTIATION_NTAR,MATCH(B178,PT_DIFFERENTIATION_NTAR_ID,0))</f>
        <v/>
      </c>
      <c r="H178" s="1780"/>
      <c r="I178" s="1659"/>
      <c r="J178" s="1693"/>
      <c r="K178" s="1698"/>
      <c r="L178" s="1780" t="s">
        <v>399</v>
      </c>
      <c r="M178" s="279"/>
      <c r="N178" s="272"/>
      <c r="O178" s="1545"/>
      <c r="P178" s="1545"/>
      <c r="AH178" s="1552">
        <v>0</v>
      </c>
    </row>
    <row r="179" spans="1:34" s="4267" customFormat="1" ht="18.75" hidden="1" customHeight="1">
      <c r="A179" s="1700"/>
      <c r="B179" s="1700"/>
      <c r="C179" s="307" t="s">
        <v>1237</v>
      </c>
      <c r="D179" s="5627"/>
      <c r="E179" s="5426"/>
      <c r="F179" s="5566"/>
      <c r="G179" s="5602"/>
      <c r="H179" s="1421"/>
      <c r="I179" s="589" t="s">
        <v>1236</v>
      </c>
      <c r="J179" s="509"/>
      <c r="K179" s="1421"/>
      <c r="L179" s="152"/>
      <c r="M179" s="279"/>
      <c r="N179" s="272"/>
      <c r="O179" s="1545"/>
      <c r="P179" s="1545"/>
      <c r="AH179" s="1552">
        <v>0</v>
      </c>
    </row>
    <row r="180" spans="1:34" s="4267" customFormat="1" ht="0.75" hidden="1" customHeight="1">
      <c r="A180" s="1700"/>
      <c r="B180" s="1700"/>
      <c r="C180" s="307" t="s">
        <v>1246</v>
      </c>
      <c r="D180" s="5627"/>
      <c r="E180" s="5426"/>
      <c r="F180" s="5566"/>
      <c r="G180" s="338"/>
      <c r="H180" s="1421"/>
      <c r="I180" s="589"/>
      <c r="J180" s="509"/>
      <c r="K180" s="1421"/>
      <c r="L180" s="152"/>
      <c r="M180" s="279"/>
      <c r="N180" s="272"/>
      <c r="O180" s="1545"/>
      <c r="P180" s="1545"/>
      <c r="AH180" s="1552">
        <v>0</v>
      </c>
    </row>
    <row r="181" spans="1:34" s="4267" customFormat="1" ht="18.75" hidden="1" customHeight="1">
      <c r="A181" s="1700" t="s">
        <v>259</v>
      </c>
      <c r="B181" s="1700" t="s">
        <v>260</v>
      </c>
      <c r="C181" s="307"/>
      <c r="D181" s="5627"/>
      <c r="E181" s="5426"/>
      <c r="F181" s="5566" t="str">
        <f>INDEX(PT_DIFFERENTIATION_VTAR,MATCH(A181,PT_DIFFERENTIATION_VTAR_ID,0))</f>
        <v>Тариф на техническую воду</v>
      </c>
      <c r="G181" s="5602" t="str">
        <f>INDEX(PT_DIFFERENTIATION_NTAR,MATCH(B181,PT_DIFFERENTIATION_NTAR_ID,0))</f>
        <v/>
      </c>
      <c r="H181" s="1780"/>
      <c r="I181" s="1659"/>
      <c r="J181" s="1693"/>
      <c r="K181" s="1698"/>
      <c r="L181" s="1780" t="s">
        <v>399</v>
      </c>
      <c r="M181" s="279"/>
      <c r="N181" s="272"/>
      <c r="O181" s="1545"/>
      <c r="P181" s="1545"/>
      <c r="AH181" s="1552">
        <v>0</v>
      </c>
    </row>
    <row r="182" spans="1:34" s="4267" customFormat="1" ht="18.75" hidden="1" customHeight="1">
      <c r="A182" s="1700"/>
      <c r="B182" s="1700"/>
      <c r="C182" s="307" t="s">
        <v>1237</v>
      </c>
      <c r="D182" s="5627"/>
      <c r="E182" s="5426"/>
      <c r="F182" s="5566"/>
      <c r="G182" s="5602"/>
      <c r="H182" s="1421"/>
      <c r="I182" s="589" t="s">
        <v>1236</v>
      </c>
      <c r="J182" s="509"/>
      <c r="K182" s="1421"/>
      <c r="L182" s="152"/>
      <c r="M182" s="279"/>
      <c r="N182" s="272"/>
      <c r="O182" s="1545"/>
      <c r="P182" s="1545"/>
      <c r="AH182" s="1552">
        <v>0</v>
      </c>
    </row>
    <row r="183" spans="1:34" s="4267" customFormat="1" ht="0.75" hidden="1" customHeight="1">
      <c r="A183" s="1700"/>
      <c r="B183" s="1700"/>
      <c r="C183" s="307" t="s">
        <v>1246</v>
      </c>
      <c r="D183" s="5627"/>
      <c r="E183" s="5426"/>
      <c r="F183" s="5566"/>
      <c r="G183" s="338"/>
      <c r="H183" s="1421"/>
      <c r="I183" s="589"/>
      <c r="J183" s="509"/>
      <c r="K183" s="1421"/>
      <c r="L183" s="152"/>
      <c r="M183" s="279"/>
      <c r="N183" s="272"/>
      <c r="O183" s="1545"/>
      <c r="P183" s="1545"/>
      <c r="AH183" s="1552">
        <v>0</v>
      </c>
    </row>
    <row r="184" spans="1:34" s="4267" customFormat="1" ht="18.75" hidden="1" customHeight="1">
      <c r="A184" s="1700" t="s">
        <v>264</v>
      </c>
      <c r="B184" s="1700" t="s">
        <v>265</v>
      </c>
      <c r="C184" s="307"/>
      <c r="D184" s="5627"/>
      <c r="E184" s="5426"/>
      <c r="F184" s="5566" t="str">
        <f>INDEX(PT_DIFFERENTIATION_VTAR,MATCH(A184,PT_DIFFERENTIATION_VTAR_ID,0))</f>
        <v>Тариф на транспортировку воды</v>
      </c>
      <c r="G184" s="5602" t="str">
        <f>INDEX(PT_DIFFERENTIATION_NTAR,MATCH(B184,PT_DIFFERENTIATION_NTAR_ID,0))</f>
        <v/>
      </c>
      <c r="H184" s="1780"/>
      <c r="I184" s="1659"/>
      <c r="J184" s="1693"/>
      <c r="K184" s="1698"/>
      <c r="L184" s="1780" t="s">
        <v>399</v>
      </c>
      <c r="M184" s="279"/>
      <c r="N184" s="272"/>
      <c r="O184" s="1545"/>
      <c r="P184" s="1545"/>
      <c r="AH184" s="1552">
        <v>0</v>
      </c>
    </row>
    <row r="185" spans="1:34" s="4267" customFormat="1" ht="18.75" hidden="1" customHeight="1">
      <c r="A185" s="1700"/>
      <c r="B185" s="1700"/>
      <c r="C185" s="307" t="s">
        <v>1237</v>
      </c>
      <c r="D185" s="5627"/>
      <c r="E185" s="5426"/>
      <c r="F185" s="5566"/>
      <c r="G185" s="5602"/>
      <c r="H185" s="1421"/>
      <c r="I185" s="589" t="s">
        <v>1236</v>
      </c>
      <c r="J185" s="509"/>
      <c r="K185" s="1421"/>
      <c r="L185" s="152"/>
      <c r="M185" s="279"/>
      <c r="N185" s="272"/>
      <c r="O185" s="1545"/>
      <c r="P185" s="1545"/>
      <c r="AH185" s="1552">
        <v>0</v>
      </c>
    </row>
    <row r="186" spans="1:34" s="4267" customFormat="1" ht="0.75" hidden="1" customHeight="1">
      <c r="A186" s="1700"/>
      <c r="B186" s="1700"/>
      <c r="C186" s="307" t="s">
        <v>1246</v>
      </c>
      <c r="D186" s="5627"/>
      <c r="E186" s="5426"/>
      <c r="F186" s="5566"/>
      <c r="G186" s="338"/>
      <c r="H186" s="1421"/>
      <c r="I186" s="589"/>
      <c r="J186" s="509"/>
      <c r="K186" s="1421"/>
      <c r="L186" s="152"/>
      <c r="M186" s="279"/>
      <c r="N186" s="272"/>
      <c r="O186" s="1545"/>
      <c r="P186" s="1545"/>
      <c r="AH186" s="1552">
        <v>0</v>
      </c>
    </row>
    <row r="187" spans="1:34" s="4267" customFormat="1" ht="18.75" hidden="1" customHeight="1">
      <c r="A187" s="1700" t="s">
        <v>269</v>
      </c>
      <c r="B187" s="1700" t="s">
        <v>270</v>
      </c>
      <c r="C187" s="307"/>
      <c r="D187" s="5627"/>
      <c r="E187" s="5426"/>
      <c r="F187" s="5566" t="str">
        <f>INDEX(PT_DIFFERENTIATION_VTAR,MATCH(A187,PT_DIFFERENTIATION_VTAR_ID,0))</f>
        <v>Тариф на подвоз воды</v>
      </c>
      <c r="G187" s="5602" t="str">
        <f>INDEX(PT_DIFFERENTIATION_NTAR,MATCH(B187,PT_DIFFERENTIATION_NTAR_ID,0))</f>
        <v/>
      </c>
      <c r="H187" s="1780"/>
      <c r="I187" s="1659"/>
      <c r="J187" s="1693"/>
      <c r="K187" s="1698"/>
      <c r="L187" s="1780" t="s">
        <v>399</v>
      </c>
      <c r="M187" s="279"/>
      <c r="N187" s="272"/>
      <c r="O187" s="1545"/>
      <c r="P187" s="1545"/>
      <c r="AH187" s="1552">
        <v>0</v>
      </c>
    </row>
    <row r="188" spans="1:34" s="4267" customFormat="1" ht="18.75" hidden="1" customHeight="1">
      <c r="A188" s="1700"/>
      <c r="B188" s="1700"/>
      <c r="C188" s="307" t="s">
        <v>1237</v>
      </c>
      <c r="D188" s="5627"/>
      <c r="E188" s="5426"/>
      <c r="F188" s="5566"/>
      <c r="G188" s="5602"/>
      <c r="H188" s="1421"/>
      <c r="I188" s="589" t="s">
        <v>1236</v>
      </c>
      <c r="J188" s="509"/>
      <c r="K188" s="1421"/>
      <c r="L188" s="152"/>
      <c r="M188" s="279"/>
      <c r="N188" s="272"/>
      <c r="O188" s="1545"/>
      <c r="P188" s="1545"/>
      <c r="AH188" s="1552">
        <v>0</v>
      </c>
    </row>
    <row r="189" spans="1:34" s="4267" customFormat="1" ht="0.75" hidden="1" customHeight="1">
      <c r="A189" s="1700"/>
      <c r="B189" s="1700"/>
      <c r="C189" s="307" t="s">
        <v>1246</v>
      </c>
      <c r="D189" s="5627"/>
      <c r="E189" s="5426"/>
      <c r="F189" s="5566"/>
      <c r="G189" s="338"/>
      <c r="H189" s="1421"/>
      <c r="I189" s="589"/>
      <c r="J189" s="509"/>
      <c r="K189" s="1421"/>
      <c r="L189" s="152"/>
      <c r="M189" s="279"/>
      <c r="N189" s="272"/>
      <c r="O189" s="1545"/>
      <c r="P189" s="1545"/>
      <c r="AH189" s="1552">
        <v>0</v>
      </c>
    </row>
    <row r="190" spans="1:34" s="4267" customFormat="1" ht="18.75" hidden="1" customHeight="1">
      <c r="A190" s="1700" t="s">
        <v>274</v>
      </c>
      <c r="B190" s="1700" t="s">
        <v>275</v>
      </c>
      <c r="C190" s="307"/>
      <c r="D190" s="5627"/>
      <c r="E190" s="5426"/>
      <c r="F190" s="5566" t="str">
        <f>INDEX(PT_DIFFERENTIATION_VTAR,MATCH(A190,PT_DIFFERENTIATION_VTAR_ID,0))</f>
        <v>Тариф на подключение (технологическое присоединение) к централизованной системе холодного водоснабжения</v>
      </c>
      <c r="G190" s="5602" t="str">
        <f>INDEX(PT_DIFFERENTIATION_NTAR,MATCH(B190,PT_DIFFERENTIATION_NTAR_ID,0))</f>
        <v/>
      </c>
      <c r="H190" s="1780"/>
      <c r="I190" s="1659"/>
      <c r="J190" s="1693"/>
      <c r="K190" s="1698"/>
      <c r="L190" s="1780" t="s">
        <v>399</v>
      </c>
      <c r="M190" s="279"/>
      <c r="N190" s="272"/>
      <c r="O190" s="1545"/>
      <c r="P190" s="1545"/>
      <c r="AH190" s="1552">
        <v>0</v>
      </c>
    </row>
    <row r="191" spans="1:34" s="4267" customFormat="1" ht="18.75" hidden="1" customHeight="1">
      <c r="A191" s="1700"/>
      <c r="B191" s="1700"/>
      <c r="C191" s="307" t="s">
        <v>1237</v>
      </c>
      <c r="D191" s="5627"/>
      <c r="E191" s="5426"/>
      <c r="F191" s="5566"/>
      <c r="G191" s="5602"/>
      <c r="H191" s="1421"/>
      <c r="I191" s="589" t="s">
        <v>1236</v>
      </c>
      <c r="J191" s="509"/>
      <c r="K191" s="1421"/>
      <c r="L191" s="152"/>
      <c r="M191" s="279"/>
      <c r="N191" s="272"/>
      <c r="O191" s="1545"/>
      <c r="P191" s="1545"/>
      <c r="AH191" s="1552">
        <v>0</v>
      </c>
    </row>
    <row r="192" spans="1:34" s="4267" customFormat="1" ht="0.75" hidden="1" customHeight="1">
      <c r="A192" s="1700"/>
      <c r="B192" s="1700"/>
      <c r="C192" s="307" t="s">
        <v>1246</v>
      </c>
      <c r="D192" s="5627"/>
      <c r="E192" s="5426"/>
      <c r="F192" s="5566"/>
      <c r="G192" s="338"/>
      <c r="H192" s="1421"/>
      <c r="I192" s="589"/>
      <c r="J192" s="509"/>
      <c r="K192" s="1421"/>
      <c r="L192" s="152"/>
      <c r="M192" s="279"/>
      <c r="N192" s="272"/>
      <c r="O192" s="1545"/>
      <c r="P192" s="1545"/>
      <c r="AH192" s="1552">
        <v>0</v>
      </c>
    </row>
    <row r="193" spans="1:34" s="4267" customFormat="1" ht="18.75" hidden="1" customHeight="1">
      <c r="A193" s="1700" t="s">
        <v>279</v>
      </c>
      <c r="B193" s="1700" t="s">
        <v>280</v>
      </c>
      <c r="C193" s="307"/>
      <c r="D193" s="5627"/>
      <c r="E193" s="5426"/>
      <c r="F193" s="5566" t="str">
        <f>INDEX(PT_DIFFERENTIATION_VTAR,MATCH(A193,PT_DIFFERENTIATION_VTAR_ID,0))</f>
        <v>Тариф на горячую воду (горячее водоснабжение)</v>
      </c>
      <c r="G193" s="5602" t="str">
        <f>INDEX(PT_DIFFERENTIATION_NTAR,MATCH(B193,PT_DIFFERENTIATION_NTAR_ID,0))</f>
        <v/>
      </c>
      <c r="H193" s="1780"/>
      <c r="I193" s="1659"/>
      <c r="J193" s="1693"/>
      <c r="K193" s="1698"/>
      <c r="L193" s="1780" t="s">
        <v>399</v>
      </c>
      <c r="M193" s="279"/>
      <c r="N193" s="272"/>
      <c r="O193" s="1545"/>
      <c r="P193" s="1545"/>
      <c r="AH193" s="1552">
        <v>0</v>
      </c>
    </row>
    <row r="194" spans="1:34" s="4267" customFormat="1" ht="18.75" hidden="1" customHeight="1">
      <c r="A194" s="1700"/>
      <c r="B194" s="1700"/>
      <c r="C194" s="307" t="s">
        <v>1237</v>
      </c>
      <c r="D194" s="5627"/>
      <c r="E194" s="5426"/>
      <c r="F194" s="5566"/>
      <c r="G194" s="5602"/>
      <c r="H194" s="1421"/>
      <c r="I194" s="589" t="s">
        <v>1236</v>
      </c>
      <c r="J194" s="509"/>
      <c r="K194" s="1421"/>
      <c r="L194" s="152"/>
      <c r="M194" s="279"/>
      <c r="N194" s="272"/>
      <c r="O194" s="1545"/>
      <c r="P194" s="1545"/>
      <c r="AH194" s="1552">
        <v>0</v>
      </c>
    </row>
    <row r="195" spans="1:34" s="4267" customFormat="1" ht="0.75" hidden="1" customHeight="1">
      <c r="A195" s="1700"/>
      <c r="B195" s="1700"/>
      <c r="C195" s="307" t="s">
        <v>1246</v>
      </c>
      <c r="D195" s="5627"/>
      <c r="E195" s="5426"/>
      <c r="F195" s="5566"/>
      <c r="G195" s="338"/>
      <c r="H195" s="1421"/>
      <c r="I195" s="589"/>
      <c r="J195" s="509"/>
      <c r="K195" s="1421"/>
      <c r="L195" s="152"/>
      <c r="M195" s="279"/>
      <c r="N195" s="272"/>
      <c r="O195" s="1545"/>
      <c r="P195" s="1545"/>
      <c r="AH195" s="1552">
        <v>0</v>
      </c>
    </row>
    <row r="196" spans="1:34" s="4267" customFormat="1" ht="18.75" hidden="1" customHeight="1">
      <c r="A196" s="1700" t="s">
        <v>284</v>
      </c>
      <c r="B196" s="1700" t="s">
        <v>285</v>
      </c>
      <c r="C196" s="307"/>
      <c r="D196" s="5627"/>
      <c r="E196" s="5426"/>
      <c r="F196" s="5566" t="str">
        <f>INDEX(PT_DIFFERENTIATION_VTAR,MATCH(A196,PT_DIFFERENTIATION_VTAR_ID,0))</f>
        <v>Тариф на транспортировку горячей воды</v>
      </c>
      <c r="G196" s="5602" t="str">
        <f>INDEX(PT_DIFFERENTIATION_NTAR,MATCH(B196,PT_DIFFERENTIATION_NTAR_ID,0))</f>
        <v/>
      </c>
      <c r="H196" s="1780"/>
      <c r="I196" s="1659"/>
      <c r="J196" s="1693"/>
      <c r="K196" s="1698"/>
      <c r="L196" s="1780" t="s">
        <v>399</v>
      </c>
      <c r="M196" s="279"/>
      <c r="N196" s="272"/>
      <c r="O196" s="1545"/>
      <c r="P196" s="1545"/>
      <c r="AH196" s="1552">
        <v>0</v>
      </c>
    </row>
    <row r="197" spans="1:34" s="4267" customFormat="1" ht="18.75" hidden="1" customHeight="1">
      <c r="A197" s="1700"/>
      <c r="B197" s="1700"/>
      <c r="C197" s="307" t="s">
        <v>1237</v>
      </c>
      <c r="D197" s="5627"/>
      <c r="E197" s="5426"/>
      <c r="F197" s="5566"/>
      <c r="G197" s="5602"/>
      <c r="H197" s="1421"/>
      <c r="I197" s="589" t="s">
        <v>1236</v>
      </c>
      <c r="J197" s="509"/>
      <c r="K197" s="1421"/>
      <c r="L197" s="152"/>
      <c r="M197" s="279"/>
      <c r="N197" s="272"/>
      <c r="O197" s="1545"/>
      <c r="P197" s="1545"/>
      <c r="AH197" s="1552">
        <v>0</v>
      </c>
    </row>
    <row r="198" spans="1:34" s="4267" customFormat="1" ht="0.75" hidden="1" customHeight="1">
      <c r="A198" s="1700"/>
      <c r="B198" s="1700"/>
      <c r="C198" s="307" t="s">
        <v>1246</v>
      </c>
      <c r="D198" s="5627"/>
      <c r="E198" s="5426"/>
      <c r="F198" s="5566"/>
      <c r="G198" s="338"/>
      <c r="H198" s="1421"/>
      <c r="I198" s="589"/>
      <c r="J198" s="509"/>
      <c r="K198" s="1421"/>
      <c r="L198" s="152"/>
      <c r="M198" s="279"/>
      <c r="N198" s="272"/>
      <c r="O198" s="1545"/>
      <c r="P198" s="1545"/>
      <c r="AH198" s="1552">
        <v>0</v>
      </c>
    </row>
    <row r="199" spans="1:34" s="4267" customFormat="1" ht="18.75" hidden="1" customHeight="1">
      <c r="A199" s="1700" t="s">
        <v>289</v>
      </c>
      <c r="B199" s="1700" t="s">
        <v>290</v>
      </c>
      <c r="C199" s="307"/>
      <c r="D199" s="5627"/>
      <c r="E199" s="5426"/>
      <c r="F199" s="5566" t="str">
        <f>INDEX(PT_DIFFERENTIATION_VTAR,MATCH(A199,PT_DIFFERENTIATION_VTAR_ID,0))</f>
        <v>Тариф на подключение (технологическое присоединение) к централизованной системе горячего водоснабжения</v>
      </c>
      <c r="G199" s="5602" t="str">
        <f>INDEX(PT_DIFFERENTIATION_NTAR,MATCH(B199,PT_DIFFERENTIATION_NTAR_ID,0))</f>
        <v/>
      </c>
      <c r="H199" s="1780"/>
      <c r="I199" s="1659"/>
      <c r="J199" s="1693"/>
      <c r="K199" s="1698"/>
      <c r="L199" s="1780" t="s">
        <v>399</v>
      </c>
      <c r="M199" s="279"/>
      <c r="N199" s="272"/>
      <c r="O199" s="1545"/>
      <c r="P199" s="1545"/>
      <c r="AH199" s="1552">
        <v>0</v>
      </c>
    </row>
    <row r="200" spans="1:34" s="4267" customFormat="1" ht="18.75" hidden="1" customHeight="1">
      <c r="A200" s="1700"/>
      <c r="B200" s="1700"/>
      <c r="C200" s="307" t="s">
        <v>1237</v>
      </c>
      <c r="D200" s="5627"/>
      <c r="E200" s="5426"/>
      <c r="F200" s="5566"/>
      <c r="G200" s="5602"/>
      <c r="H200" s="1421"/>
      <c r="I200" s="589" t="s">
        <v>1236</v>
      </c>
      <c r="J200" s="509"/>
      <c r="K200" s="1421"/>
      <c r="L200" s="152"/>
      <c r="M200" s="279"/>
      <c r="N200" s="272"/>
      <c r="O200" s="1545"/>
      <c r="P200" s="1545"/>
      <c r="AH200" s="1552">
        <v>0</v>
      </c>
    </row>
    <row r="201" spans="1:34" s="4267" customFormat="1" ht="0.75" hidden="1" customHeight="1">
      <c r="A201" s="1700"/>
      <c r="B201" s="1700"/>
      <c r="C201" s="307" t="s">
        <v>1246</v>
      </c>
      <c r="D201" s="5627"/>
      <c r="E201" s="5426"/>
      <c r="F201" s="5566"/>
      <c r="G201" s="338"/>
      <c r="H201" s="1421"/>
      <c r="I201" s="589"/>
      <c r="J201" s="509"/>
      <c r="K201" s="1421"/>
      <c r="L201" s="152"/>
      <c r="M201" s="279"/>
      <c r="N201" s="272"/>
      <c r="O201" s="1545"/>
      <c r="P201" s="1545"/>
      <c r="AH201" s="1552">
        <v>0</v>
      </c>
    </row>
    <row r="202" spans="1:34" s="4267" customFormat="1" ht="27" customHeight="1">
      <c r="A202" s="1700" t="s">
        <v>296</v>
      </c>
      <c r="B202" s="1700" t="s">
        <v>297</v>
      </c>
      <c r="C202" s="307"/>
      <c r="D202" s="5627"/>
      <c r="E202" s="5426"/>
      <c r="F202" s="5566" t="str">
        <f>INDEX(PT_DIFFERENTIATION_VTAR,MATCH(A202,PT_DIFFERENTIATION_VTAR_ID,0))</f>
        <v>Тариф на водоотведение</v>
      </c>
      <c r="G202" s="5602" t="str">
        <f>INDEX(PT_DIFFERENTIATION_NTAR,MATCH(B202,PT_DIFFERENTIATION_NTAR_ID,0))</f>
        <v>Тариф на водоотведение</v>
      </c>
      <c r="H202" s="1780"/>
      <c r="I202" s="4254">
        <v>45658.693252314813</v>
      </c>
      <c r="J202" s="4255">
        <v>46022.694201388891</v>
      </c>
      <c r="K202" s="1698">
        <v>8245.1200000000008</v>
      </c>
      <c r="L202" s="1780" t="s">
        <v>399</v>
      </c>
      <c r="M202" s="279"/>
      <c r="N202" s="272"/>
      <c r="O202" s="1545"/>
      <c r="P202" s="1545"/>
      <c r="AH202" s="1552">
        <v>0</v>
      </c>
    </row>
    <row r="203" spans="1:34" s="4307" customFormat="1" ht="27" customHeight="1">
      <c r="A203" s="2298"/>
      <c r="B203" s="2298"/>
      <c r="C203" s="4257"/>
      <c r="D203" s="5636"/>
      <c r="E203" s="5635"/>
      <c r="F203" s="5635"/>
      <c r="G203" s="5635"/>
      <c r="H203" s="2131" t="s">
        <v>104</v>
      </c>
      <c r="I203" s="4254">
        <v>46023.694444444445</v>
      </c>
      <c r="J203" s="4255">
        <v>46387.694548611114</v>
      </c>
      <c r="K203" s="4258">
        <v>8245.1200000000008</v>
      </c>
      <c r="L203" s="2132" t="s">
        <v>399</v>
      </c>
      <c r="M203" s="4259"/>
      <c r="N203" s="4260"/>
      <c r="O203" s="2207"/>
      <c r="P203" s="2207"/>
      <c r="Q203" s="2054"/>
      <c r="R203" s="2054"/>
      <c r="S203" s="2054"/>
      <c r="T203" s="2054"/>
      <c r="U203" s="2054"/>
      <c r="V203" s="2054"/>
      <c r="W203" s="2054"/>
      <c r="X203" s="2054"/>
      <c r="Y203" s="2054"/>
      <c r="Z203" s="2054"/>
      <c r="AA203" s="2054"/>
      <c r="AB203" s="2054"/>
      <c r="AC203" s="2054"/>
      <c r="AD203" s="2054"/>
      <c r="AE203" s="2054"/>
      <c r="AF203" s="2054"/>
      <c r="AG203" s="2054"/>
      <c r="AH203" s="2054">
        <v>0</v>
      </c>
    </row>
    <row r="204" spans="1:34" s="4307" customFormat="1" ht="56.25" customHeight="1">
      <c r="A204" s="2298"/>
      <c r="B204" s="2298"/>
      <c r="C204" s="4257"/>
      <c r="D204" s="5636"/>
      <c r="E204" s="5635"/>
      <c r="F204" s="5635"/>
      <c r="G204" s="5635"/>
      <c r="H204" s="2131" t="s">
        <v>104</v>
      </c>
      <c r="I204" s="4254">
        <v>46388.694699074076</v>
      </c>
      <c r="J204" s="4255">
        <v>46752.694791666669</v>
      </c>
      <c r="K204" s="4258">
        <v>8245.1200000000008</v>
      </c>
      <c r="L204" s="2132" t="s">
        <v>399</v>
      </c>
      <c r="M204" s="4259"/>
      <c r="N204" s="4260"/>
      <c r="O204" s="2207"/>
      <c r="P204" s="2207"/>
      <c r="Q204" s="2054"/>
      <c r="R204" s="2054"/>
      <c r="S204" s="2054"/>
      <c r="T204" s="2054"/>
      <c r="U204" s="2054"/>
      <c r="V204" s="2054"/>
      <c r="W204" s="2054"/>
      <c r="X204" s="2054"/>
      <c r="Y204" s="2054"/>
      <c r="Z204" s="2054"/>
      <c r="AA204" s="2054"/>
      <c r="AB204" s="2054"/>
      <c r="AC204" s="2054"/>
      <c r="AD204" s="2054"/>
      <c r="AE204" s="2054"/>
      <c r="AF204" s="2054"/>
      <c r="AG204" s="2054"/>
      <c r="AH204" s="2054">
        <v>0</v>
      </c>
    </row>
    <row r="205" spans="1:34" s="4307" customFormat="1" ht="56.25" customHeight="1">
      <c r="A205" s="2298"/>
      <c r="B205" s="2298"/>
      <c r="C205" s="4257"/>
      <c r="D205" s="5636"/>
      <c r="E205" s="5635"/>
      <c r="F205" s="5635"/>
      <c r="G205" s="5635"/>
      <c r="H205" s="2131" t="s">
        <v>104</v>
      </c>
      <c r="I205" s="4254">
        <v>46753.694965277777</v>
      </c>
      <c r="J205" s="4255">
        <v>47118.695081018515</v>
      </c>
      <c r="K205" s="4258">
        <v>8245.1200000000008</v>
      </c>
      <c r="L205" s="2132" t="s">
        <v>399</v>
      </c>
      <c r="M205" s="4259"/>
      <c r="N205" s="4260"/>
      <c r="O205" s="2207"/>
      <c r="P205" s="2207"/>
      <c r="Q205" s="2054"/>
      <c r="R205" s="2054"/>
      <c r="S205" s="2054"/>
      <c r="T205" s="2054"/>
      <c r="U205" s="2054"/>
      <c r="V205" s="2054"/>
      <c r="W205" s="2054"/>
      <c r="X205" s="2054"/>
      <c r="Y205" s="2054"/>
      <c r="Z205" s="2054"/>
      <c r="AA205" s="2054"/>
      <c r="AB205" s="2054"/>
      <c r="AC205" s="2054"/>
      <c r="AD205" s="2054"/>
      <c r="AE205" s="2054"/>
      <c r="AF205" s="2054"/>
      <c r="AG205" s="2054"/>
      <c r="AH205" s="2054">
        <v>0</v>
      </c>
    </row>
    <row r="206" spans="1:34" s="4267" customFormat="1" ht="18.75" customHeight="1">
      <c r="A206" s="1700"/>
      <c r="B206" s="1700"/>
      <c r="C206" s="307" t="s">
        <v>1237</v>
      </c>
      <c r="D206" s="5627"/>
      <c r="E206" s="5426"/>
      <c r="F206" s="5566"/>
      <c r="G206" s="5602"/>
      <c r="H206" s="1421"/>
      <c r="I206" s="589" t="s">
        <v>1236</v>
      </c>
      <c r="J206" s="509"/>
      <c r="K206" s="1421"/>
      <c r="L206" s="152"/>
      <c r="M206" s="279"/>
      <c r="N206" s="272"/>
      <c r="O206" s="1545"/>
      <c r="P206" s="1545"/>
      <c r="AH206" s="1552">
        <v>0</v>
      </c>
    </row>
    <row r="207" spans="1:34" s="4267" customFormat="1" ht="0.75" customHeight="1">
      <c r="A207" s="1700"/>
      <c r="B207" s="1700"/>
      <c r="C207" s="307" t="s">
        <v>1246</v>
      </c>
      <c r="D207" s="5627"/>
      <c r="E207" s="5426"/>
      <c r="F207" s="5566"/>
      <c r="G207" s="338"/>
      <c r="H207" s="1421"/>
      <c r="I207" s="589"/>
      <c r="J207" s="509"/>
      <c r="K207" s="1421"/>
      <c r="L207" s="152"/>
      <c r="M207" s="279"/>
      <c r="N207" s="272"/>
      <c r="O207" s="1545"/>
      <c r="P207" s="1545"/>
      <c r="AH207" s="1552">
        <v>0</v>
      </c>
    </row>
    <row r="208" spans="1:34" s="4267" customFormat="1" ht="18.75" hidden="1" customHeight="1">
      <c r="A208" s="1700" t="s">
        <v>363</v>
      </c>
      <c r="B208" s="1700" t="s">
        <v>364</v>
      </c>
      <c r="C208" s="307"/>
      <c r="D208" s="5627"/>
      <c r="E208" s="5426"/>
      <c r="F208" s="5566" t="str">
        <f>INDEX(PT_DIFFERENTIATION_VTAR,MATCH(A208,PT_DIFFERENTIATION_VTAR_ID,0))</f>
        <v>Тариф на транспортировку сточных вод</v>
      </c>
      <c r="G208" s="5602" t="str">
        <f>INDEX(PT_DIFFERENTIATION_NTAR,MATCH(B208,PT_DIFFERENTIATION_NTAR_ID,0))</f>
        <v/>
      </c>
      <c r="H208" s="1780"/>
      <c r="I208" s="1659"/>
      <c r="J208" s="1693"/>
      <c r="K208" s="1698"/>
      <c r="L208" s="1780" t="s">
        <v>399</v>
      </c>
      <c r="M208" s="279"/>
      <c r="N208" s="272"/>
      <c r="O208" s="1545"/>
      <c r="P208" s="1545"/>
      <c r="AH208" s="1552">
        <v>0</v>
      </c>
    </row>
    <row r="209" spans="1:34" s="4267" customFormat="1" ht="18.75" hidden="1" customHeight="1">
      <c r="A209" s="1700"/>
      <c r="B209" s="1700"/>
      <c r="C209" s="307" t="s">
        <v>1237</v>
      </c>
      <c r="D209" s="5627"/>
      <c r="E209" s="5426"/>
      <c r="F209" s="5566"/>
      <c r="G209" s="5602"/>
      <c r="H209" s="1421"/>
      <c r="I209" s="589" t="s">
        <v>1236</v>
      </c>
      <c r="J209" s="509"/>
      <c r="K209" s="1421"/>
      <c r="L209" s="152"/>
      <c r="M209" s="279"/>
      <c r="N209" s="272"/>
      <c r="O209" s="1545"/>
      <c r="P209" s="1545"/>
      <c r="AH209" s="1552">
        <v>0</v>
      </c>
    </row>
    <row r="210" spans="1:34" s="4267" customFormat="1" ht="0.75" hidden="1" customHeight="1">
      <c r="A210" s="1700"/>
      <c r="B210" s="1700"/>
      <c r="C210" s="307" t="s">
        <v>1246</v>
      </c>
      <c r="D210" s="5627"/>
      <c r="E210" s="5426"/>
      <c r="F210" s="5566"/>
      <c r="G210" s="338"/>
      <c r="H210" s="1421"/>
      <c r="I210" s="589"/>
      <c r="J210" s="509"/>
      <c r="K210" s="1421"/>
      <c r="L210" s="152"/>
      <c r="M210" s="279"/>
      <c r="N210" s="272"/>
      <c r="O210" s="1545"/>
      <c r="P210" s="1545"/>
      <c r="AH210" s="1552">
        <v>0</v>
      </c>
    </row>
    <row r="211" spans="1:34" s="4267" customFormat="1" ht="18.75" hidden="1" customHeight="1">
      <c r="A211" s="1700" t="s">
        <v>368</v>
      </c>
      <c r="B211" s="1700" t="s">
        <v>369</v>
      </c>
      <c r="C211" s="307"/>
      <c r="D211" s="5627"/>
      <c r="E211" s="5426"/>
      <c r="F211" s="5566" t="str">
        <f>INDEX(PT_DIFFERENTIATION_VTAR,MATCH(A211,PT_DIFFERENTIATION_VTAR_ID,0))</f>
        <v>Тариф на подключение (технологическое присоединение) к централизованной системе водоотведения</v>
      </c>
      <c r="G211" s="5602" t="str">
        <f>INDEX(PT_DIFFERENTIATION_NTAR,MATCH(B211,PT_DIFFERENTIATION_NTAR_ID,0))</f>
        <v/>
      </c>
      <c r="H211" s="1780"/>
      <c r="I211" s="1659"/>
      <c r="J211" s="1693"/>
      <c r="K211" s="1698"/>
      <c r="L211" s="1780" t="s">
        <v>399</v>
      </c>
      <c r="M211" s="279"/>
      <c r="N211" s="272"/>
      <c r="O211" s="1545"/>
      <c r="P211" s="1545"/>
      <c r="AH211" s="1552">
        <v>0</v>
      </c>
    </row>
    <row r="212" spans="1:34" s="4267" customFormat="1" ht="18.75" hidden="1" customHeight="1">
      <c r="A212" s="1700"/>
      <c r="B212" s="1700"/>
      <c r="C212" s="307" t="s">
        <v>1237</v>
      </c>
      <c r="D212" s="5627"/>
      <c r="E212" s="5426"/>
      <c r="F212" s="5566"/>
      <c r="G212" s="5602"/>
      <c r="H212" s="1421"/>
      <c r="I212" s="589" t="s">
        <v>1236</v>
      </c>
      <c r="J212" s="509"/>
      <c r="K212" s="1421"/>
      <c r="L212" s="152"/>
      <c r="M212" s="279"/>
      <c r="N212" s="272"/>
      <c r="O212" s="1545"/>
      <c r="P212" s="1545"/>
      <c r="AH212" s="1552">
        <v>0</v>
      </c>
    </row>
    <row r="213" spans="1:34" s="4267" customFormat="1" ht="1.1499999999999999" customHeight="1">
      <c r="A213" s="1700"/>
      <c r="B213" s="1700"/>
      <c r="C213" s="307" t="s">
        <v>1246</v>
      </c>
      <c r="D213" s="5627"/>
      <c r="E213" s="5426"/>
      <c r="F213" s="5566"/>
      <c r="G213" s="338"/>
      <c r="H213" s="1421"/>
      <c r="I213" s="589"/>
      <c r="J213" s="509"/>
      <c r="K213" s="1421"/>
      <c r="L213" s="152"/>
      <c r="M213" s="279"/>
      <c r="N213" s="272"/>
      <c r="O213" s="1545"/>
      <c r="P213" s="1545"/>
      <c r="AH213" s="1552">
        <v>1</v>
      </c>
    </row>
    <row r="214" spans="1:34" ht="27.4" customHeight="1">
      <c r="A214" s="1700"/>
      <c r="B214" s="1700"/>
      <c r="D214" s="314"/>
      <c r="E214" s="86" t="s">
        <v>116</v>
      </c>
      <c r="F214" s="562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4" s="5626"/>
      <c r="H214" s="5626"/>
      <c r="I214" s="5626"/>
      <c r="J214" s="5626"/>
      <c r="K214" s="5626"/>
      <c r="L214" s="5626"/>
      <c r="M214" s="235"/>
      <c r="N214" s="272"/>
      <c r="AH214" s="312">
        <v>26</v>
      </c>
    </row>
    <row r="215" spans="1:34" s="4267" customFormat="1" ht="60.75" hidden="1" customHeight="1">
      <c r="A215" s="1700" t="s">
        <v>186</v>
      </c>
      <c r="B215" s="1700" t="s">
        <v>187</v>
      </c>
      <c r="C215" s="307"/>
      <c r="D215" s="5627"/>
      <c r="E215" s="5426"/>
      <c r="F215" s="5566"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5602" t="str">
        <f>INDEX(PT_DIFFERENTIATION_NTAR,MATCH(B215,PT_DIFFERENTIATION_NTAR_ID,0))</f>
        <v/>
      </c>
      <c r="H215" s="1780"/>
      <c r="I215" s="1659"/>
      <c r="J215" s="1693"/>
      <c r="K215" s="1698"/>
      <c r="L215" s="1780" t="s">
        <v>399</v>
      </c>
      <c r="M215" s="53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15" s="272"/>
      <c r="O215" s="1545"/>
      <c r="P215" s="1545"/>
      <c r="AH215" s="1552">
        <v>0</v>
      </c>
    </row>
    <row r="216" spans="1:34" s="4267" customFormat="1" ht="18.75" hidden="1" customHeight="1">
      <c r="A216" s="1700"/>
      <c r="B216" s="1700"/>
      <c r="C216" s="307" t="s">
        <v>1237</v>
      </c>
      <c r="D216" s="5627"/>
      <c r="E216" s="5426"/>
      <c r="F216" s="5566"/>
      <c r="G216" s="5602"/>
      <c r="H216" s="1421"/>
      <c r="I216" s="589" t="s">
        <v>1236</v>
      </c>
      <c r="J216" s="509"/>
      <c r="K216" s="1421"/>
      <c r="L216" s="152"/>
      <c r="M216" s="5378"/>
      <c r="N216" s="272"/>
      <c r="O216" s="1545"/>
      <c r="P216" s="1545"/>
      <c r="AH216" s="1552">
        <v>0</v>
      </c>
    </row>
    <row r="217" spans="1:34" s="4267" customFormat="1" ht="0.75" hidden="1" customHeight="1">
      <c r="A217" s="1700"/>
      <c r="B217" s="1700"/>
      <c r="C217" s="307" t="s">
        <v>1246</v>
      </c>
      <c r="D217" s="5627"/>
      <c r="E217" s="5426"/>
      <c r="F217" s="5566"/>
      <c r="G217" s="338"/>
      <c r="H217" s="1421"/>
      <c r="I217" s="589"/>
      <c r="J217" s="509"/>
      <c r="K217" s="1421"/>
      <c r="L217" s="152"/>
      <c r="M217" s="5378"/>
      <c r="N217" s="272"/>
      <c r="O217" s="1545"/>
      <c r="P217" s="1545"/>
      <c r="AH217" s="1552">
        <v>0</v>
      </c>
    </row>
    <row r="218" spans="1:34" s="4267" customFormat="1" ht="45" hidden="1" customHeight="1">
      <c r="A218" s="1700" t="s">
        <v>191</v>
      </c>
      <c r="B218" s="1700" t="s">
        <v>192</v>
      </c>
      <c r="C218" s="307"/>
      <c r="D218" s="5627"/>
      <c r="E218" s="5426"/>
      <c r="F218" s="5566" t="str">
        <f>INDEX(PT_DIFFERENTIATION_VTAR,MATCH(A218,PT_DIFFERENTIATION_VTAR_ID,0))</f>
        <v/>
      </c>
      <c r="G218" s="5602" t="str">
        <f>INDEX(PT_DIFFERENTIATION_NTAR,MATCH(B218,PT_DIFFERENTIATION_NTAR_ID,0))</f>
        <v/>
      </c>
      <c r="H218" s="1780"/>
      <c r="I218" s="1659"/>
      <c r="J218" s="1693"/>
      <c r="K218" s="1698"/>
      <c r="L218" s="1780" t="s">
        <v>399</v>
      </c>
      <c r="M218" s="5379"/>
      <c r="N218" s="272"/>
      <c r="O218" s="1545"/>
      <c r="P218" s="1545"/>
      <c r="AH218" s="1552">
        <v>0</v>
      </c>
    </row>
    <row r="219" spans="1:34" s="4267" customFormat="1" ht="18.75" hidden="1" customHeight="1">
      <c r="A219" s="1700"/>
      <c r="B219" s="1700"/>
      <c r="C219" s="307" t="s">
        <v>1237</v>
      </c>
      <c r="D219" s="5627"/>
      <c r="E219" s="5426"/>
      <c r="F219" s="5566"/>
      <c r="G219" s="5602"/>
      <c r="H219" s="1421"/>
      <c r="I219" s="589" t="s">
        <v>1236</v>
      </c>
      <c r="J219" s="509"/>
      <c r="K219" s="1421"/>
      <c r="L219" s="152"/>
      <c r="M219" s="1779"/>
      <c r="N219" s="272"/>
      <c r="O219" s="1545"/>
      <c r="P219" s="1545"/>
      <c r="AH219" s="1552">
        <v>0</v>
      </c>
    </row>
    <row r="220" spans="1:34" s="4267" customFormat="1" ht="0.75" hidden="1" customHeight="1">
      <c r="A220" s="1700"/>
      <c r="B220" s="1700"/>
      <c r="C220" s="307" t="s">
        <v>1246</v>
      </c>
      <c r="D220" s="5627"/>
      <c r="E220" s="5426"/>
      <c r="F220" s="5566"/>
      <c r="G220" s="338"/>
      <c r="H220" s="1421"/>
      <c r="I220" s="589"/>
      <c r="J220" s="509"/>
      <c r="K220" s="1421"/>
      <c r="L220" s="152"/>
      <c r="M220" s="279"/>
      <c r="N220" s="272"/>
      <c r="O220" s="1545"/>
      <c r="P220" s="1545"/>
      <c r="AH220" s="1552">
        <v>0</v>
      </c>
    </row>
    <row r="221" spans="1:34" s="4267" customFormat="1" ht="45" hidden="1" customHeight="1">
      <c r="A221" s="1700" t="s">
        <v>198</v>
      </c>
      <c r="B221" s="1700" t="s">
        <v>199</v>
      </c>
      <c r="C221" s="307"/>
      <c r="D221" s="5627"/>
      <c r="E221" s="5426"/>
      <c r="F221" s="5566"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5602" t="str">
        <f>INDEX(PT_DIFFERENTIATION_NTAR,MATCH(B221,PT_DIFFERENTIATION_NTAR_ID,0))</f>
        <v/>
      </c>
      <c r="H221" s="1780"/>
      <c r="I221" s="1659"/>
      <c r="J221" s="1693"/>
      <c r="K221" s="1698"/>
      <c r="L221" s="1780" t="s">
        <v>399</v>
      </c>
      <c r="M221" s="279"/>
      <c r="N221" s="272"/>
      <c r="O221" s="1545"/>
      <c r="P221" s="1545"/>
      <c r="AH221" s="1552">
        <v>0</v>
      </c>
    </row>
    <row r="222" spans="1:34" s="4267" customFormat="1" ht="18.75" hidden="1" customHeight="1">
      <c r="A222" s="1700"/>
      <c r="B222" s="1700"/>
      <c r="C222" s="307" t="s">
        <v>1237</v>
      </c>
      <c r="D222" s="5627"/>
      <c r="E222" s="5426"/>
      <c r="F222" s="5566"/>
      <c r="G222" s="5602"/>
      <c r="H222" s="1421"/>
      <c r="I222" s="589" t="s">
        <v>1236</v>
      </c>
      <c r="J222" s="509"/>
      <c r="K222" s="1421"/>
      <c r="L222" s="152"/>
      <c r="M222" s="279"/>
      <c r="N222" s="272"/>
      <c r="O222" s="1545"/>
      <c r="P222" s="1545"/>
      <c r="AH222" s="1552">
        <v>0</v>
      </c>
    </row>
    <row r="223" spans="1:34" s="4267" customFormat="1" ht="0.75" hidden="1" customHeight="1">
      <c r="A223" s="1700"/>
      <c r="B223" s="1700"/>
      <c r="C223" s="307" t="s">
        <v>1246</v>
      </c>
      <c r="D223" s="5627"/>
      <c r="E223" s="5426"/>
      <c r="F223" s="5566"/>
      <c r="G223" s="338"/>
      <c r="H223" s="1421"/>
      <c r="I223" s="589"/>
      <c r="J223" s="509"/>
      <c r="K223" s="1421"/>
      <c r="L223" s="152"/>
      <c r="M223" s="279"/>
      <c r="N223" s="272"/>
      <c r="O223" s="1545"/>
      <c r="P223" s="1545"/>
      <c r="AH223" s="1552">
        <v>0</v>
      </c>
    </row>
    <row r="224" spans="1:34" s="4267" customFormat="1" ht="45" hidden="1" customHeight="1">
      <c r="A224" s="1700" t="s">
        <v>204</v>
      </c>
      <c r="B224" s="1700" t="s">
        <v>205</v>
      </c>
      <c r="C224" s="307"/>
      <c r="D224" s="5627"/>
      <c r="E224" s="5426"/>
      <c r="F224" s="5566"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5602" t="str">
        <f>INDEX(PT_DIFFERENTIATION_NTAR,MATCH(B224,PT_DIFFERENTIATION_NTAR_ID,0))</f>
        <v/>
      </c>
      <c r="H224" s="1780"/>
      <c r="I224" s="1659"/>
      <c r="J224" s="1693"/>
      <c r="K224" s="1698"/>
      <c r="L224" s="1780" t="s">
        <v>399</v>
      </c>
      <c r="M224" s="279"/>
      <c r="N224" s="272"/>
      <c r="O224" s="1545"/>
      <c r="P224" s="1545"/>
      <c r="AH224" s="1552">
        <v>0</v>
      </c>
    </row>
    <row r="225" spans="1:34" s="4267" customFormat="1" ht="18.75" hidden="1" customHeight="1">
      <c r="A225" s="1700"/>
      <c r="B225" s="1700"/>
      <c r="C225" s="307" t="s">
        <v>1237</v>
      </c>
      <c r="D225" s="5627"/>
      <c r="E225" s="5426"/>
      <c r="F225" s="5566"/>
      <c r="G225" s="5602"/>
      <c r="H225" s="1421"/>
      <c r="I225" s="589" t="s">
        <v>1236</v>
      </c>
      <c r="J225" s="509"/>
      <c r="K225" s="1421"/>
      <c r="L225" s="152"/>
      <c r="M225" s="279"/>
      <c r="N225" s="272"/>
      <c r="O225" s="1545"/>
      <c r="P225" s="1545"/>
      <c r="AH225" s="1552">
        <v>0</v>
      </c>
    </row>
    <row r="226" spans="1:34" s="4267" customFormat="1" ht="0.75" hidden="1" customHeight="1">
      <c r="A226" s="1700"/>
      <c r="B226" s="1700"/>
      <c r="C226" s="307" t="s">
        <v>1246</v>
      </c>
      <c r="D226" s="5627"/>
      <c r="E226" s="5426"/>
      <c r="F226" s="5566"/>
      <c r="G226" s="338"/>
      <c r="H226" s="1421"/>
      <c r="I226" s="589"/>
      <c r="J226" s="509"/>
      <c r="K226" s="1421"/>
      <c r="L226" s="152"/>
      <c r="M226" s="279"/>
      <c r="N226" s="272"/>
      <c r="O226" s="1545"/>
      <c r="P226" s="1545"/>
      <c r="AH226" s="1552">
        <v>0</v>
      </c>
    </row>
    <row r="227" spans="1:34" s="4267" customFormat="1" ht="18.75" hidden="1" customHeight="1">
      <c r="A227" s="1700" t="s">
        <v>210</v>
      </c>
      <c r="B227" s="1700" t="s">
        <v>211</v>
      </c>
      <c r="C227" s="307"/>
      <c r="D227" s="5627"/>
      <c r="E227" s="5426"/>
      <c r="F227" s="5566" t="str">
        <f>INDEX(PT_DIFFERENTIATION_VTAR,MATCH(A227,PT_DIFFERENTIATION_VTAR_ID,0))</f>
        <v>Тарифы на услуги по передаче тепловой энергии</v>
      </c>
      <c r="G227" s="5602" t="str">
        <f>INDEX(PT_DIFFERENTIATION_NTAR,MATCH(B227,PT_DIFFERENTIATION_NTAR_ID,0))</f>
        <v/>
      </c>
      <c r="H227" s="1780"/>
      <c r="I227" s="1659"/>
      <c r="J227" s="1693"/>
      <c r="K227" s="1698"/>
      <c r="L227" s="1780" t="s">
        <v>399</v>
      </c>
      <c r="M227" s="279"/>
      <c r="N227" s="272"/>
      <c r="O227" s="1545"/>
      <c r="P227" s="1545"/>
      <c r="AH227" s="1552">
        <v>0</v>
      </c>
    </row>
    <row r="228" spans="1:34" s="4267" customFormat="1" ht="18.75" hidden="1" customHeight="1">
      <c r="A228" s="1700"/>
      <c r="B228" s="1700"/>
      <c r="C228" s="307" t="s">
        <v>1237</v>
      </c>
      <c r="D228" s="5627"/>
      <c r="E228" s="5426"/>
      <c r="F228" s="5566"/>
      <c r="G228" s="5602"/>
      <c r="H228" s="1421"/>
      <c r="I228" s="589" t="s">
        <v>1236</v>
      </c>
      <c r="J228" s="509"/>
      <c r="K228" s="1421"/>
      <c r="L228" s="152"/>
      <c r="M228" s="279"/>
      <c r="N228" s="272"/>
      <c r="O228" s="1545"/>
      <c r="P228" s="1545"/>
      <c r="AH228" s="1552">
        <v>0</v>
      </c>
    </row>
    <row r="229" spans="1:34" s="4267" customFormat="1" ht="0.75" hidden="1" customHeight="1">
      <c r="A229" s="1700"/>
      <c r="B229" s="1700"/>
      <c r="C229" s="307" t="s">
        <v>1246</v>
      </c>
      <c r="D229" s="5627"/>
      <c r="E229" s="5426"/>
      <c r="F229" s="5566"/>
      <c r="G229" s="338"/>
      <c r="H229" s="1421"/>
      <c r="I229" s="589"/>
      <c r="J229" s="509"/>
      <c r="K229" s="1421"/>
      <c r="L229" s="152"/>
      <c r="M229" s="279"/>
      <c r="N229" s="272"/>
      <c r="O229" s="1545"/>
      <c r="P229" s="1545"/>
      <c r="AH229" s="1552">
        <v>0</v>
      </c>
    </row>
    <row r="230" spans="1:34" s="4267" customFormat="1" ht="18.75" hidden="1" customHeight="1">
      <c r="A230" s="1700" t="s">
        <v>216</v>
      </c>
      <c r="B230" s="1700" t="s">
        <v>217</v>
      </c>
      <c r="C230" s="307"/>
      <c r="D230" s="5627"/>
      <c r="E230" s="5426"/>
      <c r="F230" s="5566" t="str">
        <f>INDEX(PT_DIFFERENTIATION_VTAR,MATCH(A230,PT_DIFFERENTIATION_VTAR_ID,0))</f>
        <v>Тарифы на услуги по передаче теплоносителя</v>
      </c>
      <c r="G230" s="5602" t="str">
        <f>INDEX(PT_DIFFERENTIATION_NTAR,MATCH(B230,PT_DIFFERENTIATION_NTAR_ID,0))</f>
        <v/>
      </c>
      <c r="H230" s="1780"/>
      <c r="I230" s="1659"/>
      <c r="J230" s="1693"/>
      <c r="K230" s="1698"/>
      <c r="L230" s="1780" t="s">
        <v>399</v>
      </c>
      <c r="M230" s="279"/>
      <c r="N230" s="272"/>
      <c r="O230" s="1545"/>
      <c r="P230" s="1545"/>
      <c r="AH230" s="1552">
        <v>0</v>
      </c>
    </row>
    <row r="231" spans="1:34" s="4267" customFormat="1" ht="18.75" hidden="1" customHeight="1">
      <c r="A231" s="1700"/>
      <c r="B231" s="1700"/>
      <c r="C231" s="307" t="s">
        <v>1237</v>
      </c>
      <c r="D231" s="5627"/>
      <c r="E231" s="5426"/>
      <c r="F231" s="5566"/>
      <c r="G231" s="5602"/>
      <c r="H231" s="1421"/>
      <c r="I231" s="589" t="s">
        <v>1236</v>
      </c>
      <c r="J231" s="509"/>
      <c r="K231" s="1421"/>
      <c r="L231" s="152"/>
      <c r="M231" s="279"/>
      <c r="N231" s="272"/>
      <c r="O231" s="1545"/>
      <c r="P231" s="1545"/>
      <c r="AH231" s="1552">
        <v>0</v>
      </c>
    </row>
    <row r="232" spans="1:34" s="4267" customFormat="1" ht="0.75" hidden="1" customHeight="1">
      <c r="A232" s="1700"/>
      <c r="B232" s="1700"/>
      <c r="C232" s="307" t="s">
        <v>1246</v>
      </c>
      <c r="D232" s="5627"/>
      <c r="E232" s="5426"/>
      <c r="F232" s="5566"/>
      <c r="G232" s="338"/>
      <c r="H232" s="1421"/>
      <c r="I232" s="589"/>
      <c r="J232" s="509"/>
      <c r="K232" s="1421"/>
      <c r="L232" s="152"/>
      <c r="M232" s="279"/>
      <c r="N232" s="272"/>
      <c r="O232" s="1545"/>
      <c r="P232" s="1545"/>
      <c r="AH232" s="1552">
        <v>0</v>
      </c>
    </row>
    <row r="233" spans="1:34" s="4267" customFormat="1" ht="18.75" hidden="1" customHeight="1">
      <c r="A233" s="1700" t="s">
        <v>222</v>
      </c>
      <c r="B233" s="1700" t="s">
        <v>223</v>
      </c>
      <c r="C233" s="307"/>
      <c r="D233" s="5627"/>
      <c r="E233" s="5426"/>
      <c r="F233" s="5566" t="str">
        <f>INDEX(PT_DIFFERENTIATION_VTAR,MATCH(A233,PT_DIFFERENTIATION_VTAR_ID,0))</f>
        <v>Плата за услуги по поддержанию резервной тепловой мощности при отсутствии потребления тепловой энергии</v>
      </c>
      <c r="G233" s="5602" t="str">
        <f>INDEX(PT_DIFFERENTIATION_NTAR,MATCH(B233,PT_DIFFERENTIATION_NTAR_ID,0))</f>
        <v/>
      </c>
      <c r="H233" s="1780"/>
      <c r="I233" s="1659"/>
      <c r="J233" s="1693"/>
      <c r="K233" s="1698"/>
      <c r="L233" s="1780" t="s">
        <v>399</v>
      </c>
      <c r="M233" s="279"/>
      <c r="N233" s="272"/>
      <c r="O233" s="1545"/>
      <c r="P233" s="1545"/>
      <c r="AH233" s="1552">
        <v>0</v>
      </c>
    </row>
    <row r="234" spans="1:34" s="4267" customFormat="1" ht="18.75" hidden="1" customHeight="1">
      <c r="A234" s="1700"/>
      <c r="B234" s="1700"/>
      <c r="C234" s="307" t="s">
        <v>1237</v>
      </c>
      <c r="D234" s="5627"/>
      <c r="E234" s="5426"/>
      <c r="F234" s="5566"/>
      <c r="G234" s="5602"/>
      <c r="H234" s="1421"/>
      <c r="I234" s="589" t="s">
        <v>1236</v>
      </c>
      <c r="J234" s="509"/>
      <c r="K234" s="1421"/>
      <c r="L234" s="152"/>
      <c r="M234" s="279"/>
      <c r="N234" s="272"/>
      <c r="O234" s="1545"/>
      <c r="P234" s="1545"/>
      <c r="AH234" s="1552">
        <v>0</v>
      </c>
    </row>
    <row r="235" spans="1:34" s="4267" customFormat="1" ht="0.75" hidden="1" customHeight="1">
      <c r="A235" s="1700"/>
      <c r="B235" s="1700"/>
      <c r="C235" s="307" t="s">
        <v>1246</v>
      </c>
      <c r="D235" s="5627"/>
      <c r="E235" s="5426"/>
      <c r="F235" s="5566"/>
      <c r="G235" s="338"/>
      <c r="H235" s="1421"/>
      <c r="I235" s="589"/>
      <c r="J235" s="509"/>
      <c r="K235" s="1421"/>
      <c r="L235" s="152"/>
      <c r="M235" s="279"/>
      <c r="N235" s="272"/>
      <c r="O235" s="1545"/>
      <c r="P235" s="1545"/>
      <c r="AH235" s="1552">
        <v>0</v>
      </c>
    </row>
    <row r="236" spans="1:34" s="4267" customFormat="1" ht="18.75" hidden="1" customHeight="1">
      <c r="A236" s="1700" t="s">
        <v>228</v>
      </c>
      <c r="B236" s="1700" t="s">
        <v>229</v>
      </c>
      <c r="C236" s="307"/>
      <c r="D236" s="5627"/>
      <c r="E236" s="5426"/>
      <c r="F236" s="5566" t="str">
        <f>INDEX(PT_DIFFERENTIATION_VTAR,MATCH(A236,PT_DIFFERENTIATION_VTAR_ID,0))</f>
        <v>Плата за подключение (технологическое присоединение) к системе теплоснабжения</v>
      </c>
      <c r="G236" s="5602" t="str">
        <f>INDEX(PT_DIFFERENTIATION_NTAR,MATCH(B236,PT_DIFFERENTIATION_NTAR_ID,0))</f>
        <v/>
      </c>
      <c r="H236" s="1780"/>
      <c r="I236" s="1659"/>
      <c r="J236" s="1693"/>
      <c r="K236" s="1698"/>
      <c r="L236" s="1780" t="s">
        <v>399</v>
      </c>
      <c r="M236" s="279"/>
      <c r="N236" s="272"/>
      <c r="O236" s="1545"/>
      <c r="P236" s="1545"/>
      <c r="AH236" s="1552">
        <v>0</v>
      </c>
    </row>
    <row r="237" spans="1:34" s="4267" customFormat="1" ht="18.75" hidden="1" customHeight="1">
      <c r="A237" s="1700"/>
      <c r="B237" s="1700"/>
      <c r="C237" s="307" t="s">
        <v>1237</v>
      </c>
      <c r="D237" s="5627"/>
      <c r="E237" s="5426"/>
      <c r="F237" s="5566"/>
      <c r="G237" s="5602"/>
      <c r="H237" s="1421"/>
      <c r="I237" s="589" t="s">
        <v>1236</v>
      </c>
      <c r="J237" s="509"/>
      <c r="K237" s="1421"/>
      <c r="L237" s="152"/>
      <c r="M237" s="279"/>
      <c r="N237" s="272"/>
      <c r="O237" s="1545"/>
      <c r="P237" s="1545"/>
      <c r="AH237" s="1552">
        <v>0</v>
      </c>
    </row>
    <row r="238" spans="1:34" s="4267" customFormat="1" ht="0.75" hidden="1" customHeight="1">
      <c r="A238" s="1700"/>
      <c r="B238" s="1700"/>
      <c r="C238" s="307" t="s">
        <v>1246</v>
      </c>
      <c r="D238" s="5627"/>
      <c r="E238" s="5426"/>
      <c r="F238" s="5566"/>
      <c r="G238" s="338"/>
      <c r="H238" s="1421"/>
      <c r="I238" s="589"/>
      <c r="J238" s="509"/>
      <c r="K238" s="1421"/>
      <c r="L238" s="152"/>
      <c r="M238" s="279"/>
      <c r="N238" s="272"/>
      <c r="O238" s="1545"/>
      <c r="P238" s="1545"/>
      <c r="AH238" s="1552">
        <v>0</v>
      </c>
    </row>
    <row r="239" spans="1:34" s="4267" customFormat="1" ht="18.75" hidden="1" customHeight="1">
      <c r="A239" s="1700" t="s">
        <v>234</v>
      </c>
      <c r="B239" s="1700" t="s">
        <v>235</v>
      </c>
      <c r="C239" s="307"/>
      <c r="D239" s="5627"/>
      <c r="E239" s="5426"/>
      <c r="F239" s="5566" t="str">
        <f>INDEX(PT_DIFFERENTIATION_VTAR,MATCH(A239,PT_DIFFERENTIATION_VTAR_ID,0))</f>
        <v>Плата за подключение (технологическое присоединение) к системе теплоснабжения (индивидуальная)</v>
      </c>
      <c r="G239" s="5602" t="str">
        <f>INDEX(PT_DIFFERENTIATION_NTAR,MATCH(B239,PT_DIFFERENTIATION_NTAR_ID,0))</f>
        <v/>
      </c>
      <c r="H239" s="1904"/>
      <c r="I239" s="1659"/>
      <c r="J239" s="1693"/>
      <c r="K239" s="1698"/>
      <c r="L239" s="1904" t="s">
        <v>399</v>
      </c>
      <c r="M239" s="279"/>
      <c r="N239" s="272"/>
      <c r="O239" s="1545"/>
      <c r="P239" s="1545"/>
      <c r="AH239" s="1552">
        <v>0</v>
      </c>
    </row>
    <row r="240" spans="1:34" s="4267" customFormat="1" ht="18.75" hidden="1" customHeight="1">
      <c r="A240" s="1700"/>
      <c r="B240" s="1700"/>
      <c r="C240" s="307" t="s">
        <v>1237</v>
      </c>
      <c r="D240" s="5627"/>
      <c r="E240" s="5426"/>
      <c r="F240" s="5566"/>
      <c r="G240" s="5602"/>
      <c r="H240" s="1421"/>
      <c r="I240" s="589" t="s">
        <v>1236</v>
      </c>
      <c r="J240" s="509"/>
      <c r="K240" s="1421"/>
      <c r="L240" s="152"/>
      <c r="M240" s="279"/>
      <c r="N240" s="272"/>
      <c r="O240" s="1545"/>
      <c r="P240" s="1545"/>
      <c r="AH240" s="1552">
        <v>0</v>
      </c>
    </row>
    <row r="241" spans="1:34" s="4267" customFormat="1" ht="0.75" hidden="1" customHeight="1">
      <c r="A241" s="1700"/>
      <c r="B241" s="1700"/>
      <c r="C241" s="307" t="s">
        <v>1246</v>
      </c>
      <c r="D241" s="5627"/>
      <c r="E241" s="5426"/>
      <c r="F241" s="5566"/>
      <c r="G241" s="338"/>
      <c r="H241" s="1421"/>
      <c r="I241" s="589"/>
      <c r="J241" s="509"/>
      <c r="K241" s="1421"/>
      <c r="L241" s="152"/>
      <c r="M241" s="279"/>
      <c r="N241" s="272"/>
      <c r="O241" s="1545"/>
      <c r="P241" s="1545"/>
      <c r="AH241" s="1552">
        <v>0</v>
      </c>
    </row>
    <row r="242" spans="1:34" s="4267" customFormat="1" ht="18.75" hidden="1" customHeight="1">
      <c r="A242" s="1700" t="s">
        <v>254</v>
      </c>
      <c r="B242" s="1700" t="s">
        <v>255</v>
      </c>
      <c r="C242" s="307"/>
      <c r="D242" s="5627"/>
      <c r="E242" s="5426"/>
      <c r="F242" s="5566" t="str">
        <f>INDEX(PT_DIFFERENTIATION_VTAR,MATCH(A242,PT_DIFFERENTIATION_VTAR_ID,0))</f>
        <v>Тариф на питьевую воду (питьевое водоснабжение)</v>
      </c>
      <c r="G242" s="5602" t="str">
        <f>INDEX(PT_DIFFERENTIATION_NTAR,MATCH(B242,PT_DIFFERENTIATION_NTAR_ID,0))</f>
        <v/>
      </c>
      <c r="H242" s="1780"/>
      <c r="I242" s="1659"/>
      <c r="J242" s="1693"/>
      <c r="K242" s="1698"/>
      <c r="L242" s="1780" t="s">
        <v>399</v>
      </c>
      <c r="M242" s="279"/>
      <c r="N242" s="272"/>
      <c r="O242" s="1545"/>
      <c r="P242" s="1545"/>
      <c r="AH242" s="1552">
        <v>0</v>
      </c>
    </row>
    <row r="243" spans="1:34" s="4267" customFormat="1" ht="18.75" hidden="1" customHeight="1">
      <c r="A243" s="1700"/>
      <c r="B243" s="1700"/>
      <c r="C243" s="307" t="s">
        <v>1237</v>
      </c>
      <c r="D243" s="5627"/>
      <c r="E243" s="5426"/>
      <c r="F243" s="5566"/>
      <c r="G243" s="5602"/>
      <c r="H243" s="1421"/>
      <c r="I243" s="589" t="s">
        <v>1236</v>
      </c>
      <c r="J243" s="509"/>
      <c r="K243" s="1421"/>
      <c r="L243" s="152"/>
      <c r="M243" s="279"/>
      <c r="N243" s="272"/>
      <c r="O243" s="1545"/>
      <c r="P243" s="1545"/>
      <c r="AH243" s="1552">
        <v>0</v>
      </c>
    </row>
    <row r="244" spans="1:34" s="4267" customFormat="1" ht="0.75" hidden="1" customHeight="1">
      <c r="A244" s="1700"/>
      <c r="B244" s="1700"/>
      <c r="C244" s="307" t="s">
        <v>1246</v>
      </c>
      <c r="D244" s="5627"/>
      <c r="E244" s="5426"/>
      <c r="F244" s="5566"/>
      <c r="G244" s="338"/>
      <c r="H244" s="1421"/>
      <c r="I244" s="589"/>
      <c r="J244" s="509"/>
      <c r="K244" s="1421"/>
      <c r="L244" s="152"/>
      <c r="M244" s="279"/>
      <c r="N244" s="272"/>
      <c r="O244" s="1545"/>
      <c r="P244" s="1545"/>
      <c r="AH244" s="1552">
        <v>0</v>
      </c>
    </row>
    <row r="245" spans="1:34" s="4267" customFormat="1" ht="18.75" hidden="1" customHeight="1">
      <c r="A245" s="1700" t="s">
        <v>259</v>
      </c>
      <c r="B245" s="1700" t="s">
        <v>260</v>
      </c>
      <c r="C245" s="307"/>
      <c r="D245" s="5627"/>
      <c r="E245" s="5426"/>
      <c r="F245" s="5566" t="str">
        <f>INDEX(PT_DIFFERENTIATION_VTAR,MATCH(A245,PT_DIFFERENTIATION_VTAR_ID,0))</f>
        <v>Тариф на техническую воду</v>
      </c>
      <c r="G245" s="5602" t="str">
        <f>INDEX(PT_DIFFERENTIATION_NTAR,MATCH(B245,PT_DIFFERENTIATION_NTAR_ID,0))</f>
        <v/>
      </c>
      <c r="H245" s="1780"/>
      <c r="I245" s="1659"/>
      <c r="J245" s="1693"/>
      <c r="K245" s="1698"/>
      <c r="L245" s="1780" t="s">
        <v>399</v>
      </c>
      <c r="M245" s="279"/>
      <c r="N245" s="272"/>
      <c r="O245" s="1545"/>
      <c r="P245" s="1545"/>
      <c r="AH245" s="1552">
        <v>0</v>
      </c>
    </row>
    <row r="246" spans="1:34" s="4267" customFormat="1" ht="18.75" hidden="1" customHeight="1">
      <c r="A246" s="1700"/>
      <c r="B246" s="1700"/>
      <c r="C246" s="307" t="s">
        <v>1237</v>
      </c>
      <c r="D246" s="5627"/>
      <c r="E246" s="5426"/>
      <c r="F246" s="5566"/>
      <c r="G246" s="5602"/>
      <c r="H246" s="1421"/>
      <c r="I246" s="589" t="s">
        <v>1236</v>
      </c>
      <c r="J246" s="509"/>
      <c r="K246" s="1421"/>
      <c r="L246" s="152"/>
      <c r="M246" s="279"/>
      <c r="N246" s="272"/>
      <c r="O246" s="1545"/>
      <c r="P246" s="1545"/>
      <c r="AH246" s="1552">
        <v>0</v>
      </c>
    </row>
    <row r="247" spans="1:34" s="4267" customFormat="1" ht="0.75" hidden="1" customHeight="1">
      <c r="A247" s="1700"/>
      <c r="B247" s="1700"/>
      <c r="C247" s="307" t="s">
        <v>1246</v>
      </c>
      <c r="D247" s="5627"/>
      <c r="E247" s="5426"/>
      <c r="F247" s="5566"/>
      <c r="G247" s="338"/>
      <c r="H247" s="1421"/>
      <c r="I247" s="589"/>
      <c r="J247" s="509"/>
      <c r="K247" s="1421"/>
      <c r="L247" s="152"/>
      <c r="M247" s="279"/>
      <c r="N247" s="272"/>
      <c r="O247" s="1545"/>
      <c r="P247" s="1545"/>
      <c r="AH247" s="1552">
        <v>0</v>
      </c>
    </row>
    <row r="248" spans="1:34" s="4267" customFormat="1" ht="18.75" hidden="1" customHeight="1">
      <c r="A248" s="1700" t="s">
        <v>264</v>
      </c>
      <c r="B248" s="1700" t="s">
        <v>265</v>
      </c>
      <c r="C248" s="307"/>
      <c r="D248" s="5627"/>
      <c r="E248" s="5426"/>
      <c r="F248" s="5566" t="str">
        <f>INDEX(PT_DIFFERENTIATION_VTAR,MATCH(A248,PT_DIFFERENTIATION_VTAR_ID,0))</f>
        <v>Тариф на транспортировку воды</v>
      </c>
      <c r="G248" s="5602" t="str">
        <f>INDEX(PT_DIFFERENTIATION_NTAR,MATCH(B248,PT_DIFFERENTIATION_NTAR_ID,0))</f>
        <v/>
      </c>
      <c r="H248" s="1780"/>
      <c r="I248" s="1659"/>
      <c r="J248" s="1693"/>
      <c r="K248" s="1698"/>
      <c r="L248" s="1780" t="s">
        <v>399</v>
      </c>
      <c r="M248" s="279"/>
      <c r="N248" s="272"/>
      <c r="O248" s="1545"/>
      <c r="P248" s="1545"/>
      <c r="AH248" s="1552">
        <v>0</v>
      </c>
    </row>
    <row r="249" spans="1:34" s="4267" customFormat="1" ht="18.75" hidden="1" customHeight="1">
      <c r="A249" s="1700"/>
      <c r="B249" s="1700"/>
      <c r="C249" s="307" t="s">
        <v>1237</v>
      </c>
      <c r="D249" s="5627"/>
      <c r="E249" s="5426"/>
      <c r="F249" s="5566"/>
      <c r="G249" s="5602"/>
      <c r="H249" s="1421"/>
      <c r="I249" s="589" t="s">
        <v>1236</v>
      </c>
      <c r="J249" s="509"/>
      <c r="K249" s="1421"/>
      <c r="L249" s="152"/>
      <c r="M249" s="279"/>
      <c r="N249" s="272"/>
      <c r="O249" s="1545"/>
      <c r="P249" s="1545"/>
      <c r="AH249" s="1552">
        <v>0</v>
      </c>
    </row>
    <row r="250" spans="1:34" s="4267" customFormat="1" ht="0.75" hidden="1" customHeight="1">
      <c r="A250" s="1700"/>
      <c r="B250" s="1700"/>
      <c r="C250" s="307" t="s">
        <v>1246</v>
      </c>
      <c r="D250" s="5627"/>
      <c r="E250" s="5426"/>
      <c r="F250" s="5566"/>
      <c r="G250" s="338"/>
      <c r="H250" s="1421"/>
      <c r="I250" s="589"/>
      <c r="J250" s="509"/>
      <c r="K250" s="1421"/>
      <c r="L250" s="152"/>
      <c r="M250" s="279"/>
      <c r="N250" s="272"/>
      <c r="O250" s="1545"/>
      <c r="P250" s="1545"/>
      <c r="AH250" s="1552">
        <v>0</v>
      </c>
    </row>
    <row r="251" spans="1:34" s="4267" customFormat="1" ht="18.75" hidden="1" customHeight="1">
      <c r="A251" s="1700" t="s">
        <v>269</v>
      </c>
      <c r="B251" s="1700" t="s">
        <v>270</v>
      </c>
      <c r="C251" s="307"/>
      <c r="D251" s="5627"/>
      <c r="E251" s="5426"/>
      <c r="F251" s="5566" t="str">
        <f>INDEX(PT_DIFFERENTIATION_VTAR,MATCH(A251,PT_DIFFERENTIATION_VTAR_ID,0))</f>
        <v>Тариф на подвоз воды</v>
      </c>
      <c r="G251" s="5602" t="str">
        <f>INDEX(PT_DIFFERENTIATION_NTAR,MATCH(B251,PT_DIFFERENTIATION_NTAR_ID,0))</f>
        <v/>
      </c>
      <c r="H251" s="1780"/>
      <c r="I251" s="1659"/>
      <c r="J251" s="1693"/>
      <c r="K251" s="1698"/>
      <c r="L251" s="1780" t="s">
        <v>399</v>
      </c>
      <c r="M251" s="279"/>
      <c r="N251" s="272"/>
      <c r="O251" s="1545"/>
      <c r="P251" s="1545"/>
      <c r="AH251" s="1552">
        <v>0</v>
      </c>
    </row>
    <row r="252" spans="1:34" s="4267" customFormat="1" ht="18.75" hidden="1" customHeight="1">
      <c r="A252" s="1700"/>
      <c r="B252" s="1700"/>
      <c r="C252" s="307" t="s">
        <v>1237</v>
      </c>
      <c r="D252" s="5627"/>
      <c r="E252" s="5426"/>
      <c r="F252" s="5566"/>
      <c r="G252" s="5602"/>
      <c r="H252" s="1421"/>
      <c r="I252" s="589" t="s">
        <v>1236</v>
      </c>
      <c r="J252" s="509"/>
      <c r="K252" s="1421"/>
      <c r="L252" s="152"/>
      <c r="M252" s="279"/>
      <c r="N252" s="272"/>
      <c r="O252" s="1545"/>
      <c r="P252" s="1545"/>
      <c r="AH252" s="1552">
        <v>0</v>
      </c>
    </row>
    <row r="253" spans="1:34" s="4267" customFormat="1" ht="0.75" hidden="1" customHeight="1">
      <c r="A253" s="1700"/>
      <c r="B253" s="1700"/>
      <c r="C253" s="307" t="s">
        <v>1246</v>
      </c>
      <c r="D253" s="5627"/>
      <c r="E253" s="5426"/>
      <c r="F253" s="5566"/>
      <c r="G253" s="338"/>
      <c r="H253" s="1421"/>
      <c r="I253" s="589"/>
      <c r="J253" s="509"/>
      <c r="K253" s="1421"/>
      <c r="L253" s="152"/>
      <c r="M253" s="279"/>
      <c r="N253" s="272"/>
      <c r="O253" s="1545"/>
      <c r="P253" s="1545"/>
      <c r="AH253" s="1552">
        <v>0</v>
      </c>
    </row>
    <row r="254" spans="1:34" s="4267" customFormat="1" ht="18.75" hidden="1" customHeight="1">
      <c r="A254" s="1700" t="s">
        <v>274</v>
      </c>
      <c r="B254" s="1700" t="s">
        <v>275</v>
      </c>
      <c r="C254" s="307"/>
      <c r="D254" s="5627"/>
      <c r="E254" s="5426"/>
      <c r="F254" s="5566"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5602" t="str">
        <f>INDEX(PT_DIFFERENTIATION_NTAR,MATCH(B254,PT_DIFFERENTIATION_NTAR_ID,0))</f>
        <v/>
      </c>
      <c r="H254" s="1780"/>
      <c r="I254" s="1659"/>
      <c r="J254" s="1693"/>
      <c r="K254" s="1698"/>
      <c r="L254" s="1780" t="s">
        <v>399</v>
      </c>
      <c r="M254" s="279"/>
      <c r="N254" s="272"/>
      <c r="O254" s="1545"/>
      <c r="P254" s="1545"/>
      <c r="AH254" s="1552">
        <v>0</v>
      </c>
    </row>
    <row r="255" spans="1:34" s="4267" customFormat="1" ht="18.75" hidden="1" customHeight="1">
      <c r="A255" s="1700"/>
      <c r="B255" s="1700"/>
      <c r="C255" s="307" t="s">
        <v>1237</v>
      </c>
      <c r="D255" s="5627"/>
      <c r="E255" s="5426"/>
      <c r="F255" s="5566"/>
      <c r="G255" s="5602"/>
      <c r="H255" s="1421"/>
      <c r="I255" s="589" t="s">
        <v>1236</v>
      </c>
      <c r="J255" s="509"/>
      <c r="K255" s="1421"/>
      <c r="L255" s="152"/>
      <c r="M255" s="279"/>
      <c r="N255" s="272"/>
      <c r="O255" s="1545"/>
      <c r="P255" s="1545"/>
      <c r="AH255" s="1552">
        <v>0</v>
      </c>
    </row>
    <row r="256" spans="1:34" s="4267" customFormat="1" ht="0.75" hidden="1" customHeight="1">
      <c r="A256" s="1700"/>
      <c r="B256" s="1700"/>
      <c r="C256" s="307" t="s">
        <v>1246</v>
      </c>
      <c r="D256" s="5627"/>
      <c r="E256" s="5426"/>
      <c r="F256" s="5566"/>
      <c r="G256" s="338"/>
      <c r="H256" s="1421"/>
      <c r="I256" s="589"/>
      <c r="J256" s="509"/>
      <c r="K256" s="1421"/>
      <c r="L256" s="152"/>
      <c r="M256" s="279"/>
      <c r="N256" s="272"/>
      <c r="O256" s="1545"/>
      <c r="P256" s="1545"/>
      <c r="AH256" s="1552">
        <v>0</v>
      </c>
    </row>
    <row r="257" spans="1:34" s="4267" customFormat="1" ht="18.75" hidden="1" customHeight="1">
      <c r="A257" s="1700" t="s">
        <v>279</v>
      </c>
      <c r="B257" s="1700" t="s">
        <v>280</v>
      </c>
      <c r="C257" s="307"/>
      <c r="D257" s="5627"/>
      <c r="E257" s="5426"/>
      <c r="F257" s="5566" t="str">
        <f>INDEX(PT_DIFFERENTIATION_VTAR,MATCH(A257,PT_DIFFERENTIATION_VTAR_ID,0))</f>
        <v>Тариф на горячую воду (горячее водоснабжение)</v>
      </c>
      <c r="G257" s="5602" t="str">
        <f>INDEX(PT_DIFFERENTIATION_NTAR,MATCH(B257,PT_DIFFERENTIATION_NTAR_ID,0))</f>
        <v/>
      </c>
      <c r="H257" s="1780"/>
      <c r="I257" s="1659"/>
      <c r="J257" s="1693"/>
      <c r="K257" s="1698"/>
      <c r="L257" s="1780" t="s">
        <v>399</v>
      </c>
      <c r="M257" s="279"/>
      <c r="N257" s="272"/>
      <c r="O257" s="1545"/>
      <c r="P257" s="1545"/>
      <c r="AH257" s="1552">
        <v>0</v>
      </c>
    </row>
    <row r="258" spans="1:34" s="4267" customFormat="1" ht="18.75" hidden="1" customHeight="1">
      <c r="A258" s="1700"/>
      <c r="B258" s="1700"/>
      <c r="C258" s="307" t="s">
        <v>1237</v>
      </c>
      <c r="D258" s="5627"/>
      <c r="E258" s="5426"/>
      <c r="F258" s="5566"/>
      <c r="G258" s="5602"/>
      <c r="H258" s="1421"/>
      <c r="I258" s="589" t="s">
        <v>1236</v>
      </c>
      <c r="J258" s="509"/>
      <c r="K258" s="1421"/>
      <c r="L258" s="152"/>
      <c r="M258" s="279"/>
      <c r="N258" s="272"/>
      <c r="O258" s="1545"/>
      <c r="P258" s="1545"/>
      <c r="AH258" s="1552">
        <v>0</v>
      </c>
    </row>
    <row r="259" spans="1:34" s="4267" customFormat="1" ht="0.75" hidden="1" customHeight="1">
      <c r="A259" s="1700"/>
      <c r="B259" s="1700"/>
      <c r="C259" s="307" t="s">
        <v>1246</v>
      </c>
      <c r="D259" s="5627"/>
      <c r="E259" s="5426"/>
      <c r="F259" s="5566"/>
      <c r="G259" s="338"/>
      <c r="H259" s="1421"/>
      <c r="I259" s="589"/>
      <c r="J259" s="509"/>
      <c r="K259" s="1421"/>
      <c r="L259" s="152"/>
      <c r="M259" s="279"/>
      <c r="N259" s="272"/>
      <c r="O259" s="1545"/>
      <c r="P259" s="1545"/>
      <c r="AH259" s="1552">
        <v>0</v>
      </c>
    </row>
    <row r="260" spans="1:34" s="4267" customFormat="1" ht="18.75" hidden="1" customHeight="1">
      <c r="A260" s="1700" t="s">
        <v>284</v>
      </c>
      <c r="B260" s="1700" t="s">
        <v>285</v>
      </c>
      <c r="C260" s="307"/>
      <c r="D260" s="5627"/>
      <c r="E260" s="5426"/>
      <c r="F260" s="5566" t="str">
        <f>INDEX(PT_DIFFERENTIATION_VTAR,MATCH(A260,PT_DIFFERENTIATION_VTAR_ID,0))</f>
        <v>Тариф на транспортировку горячей воды</v>
      </c>
      <c r="G260" s="5602" t="str">
        <f>INDEX(PT_DIFFERENTIATION_NTAR,MATCH(B260,PT_DIFFERENTIATION_NTAR_ID,0))</f>
        <v/>
      </c>
      <c r="H260" s="1780"/>
      <c r="I260" s="1659"/>
      <c r="J260" s="1693"/>
      <c r="K260" s="1698"/>
      <c r="L260" s="1780" t="s">
        <v>399</v>
      </c>
      <c r="M260" s="279"/>
      <c r="N260" s="272"/>
      <c r="O260" s="1545"/>
      <c r="P260" s="1545"/>
      <c r="AH260" s="1552">
        <v>0</v>
      </c>
    </row>
    <row r="261" spans="1:34" s="4267" customFormat="1" ht="18.75" hidden="1" customHeight="1">
      <c r="A261" s="1700"/>
      <c r="B261" s="1700"/>
      <c r="C261" s="307" t="s">
        <v>1237</v>
      </c>
      <c r="D261" s="5627"/>
      <c r="E261" s="5426"/>
      <c r="F261" s="5566"/>
      <c r="G261" s="5602"/>
      <c r="H261" s="1421"/>
      <c r="I261" s="589" t="s">
        <v>1236</v>
      </c>
      <c r="J261" s="509"/>
      <c r="K261" s="1421"/>
      <c r="L261" s="152"/>
      <c r="M261" s="279"/>
      <c r="N261" s="272"/>
      <c r="O261" s="1545"/>
      <c r="P261" s="1545"/>
      <c r="AH261" s="1552">
        <v>0</v>
      </c>
    </row>
    <row r="262" spans="1:34" s="4267" customFormat="1" ht="0.75" hidden="1" customHeight="1">
      <c r="A262" s="1700"/>
      <c r="B262" s="1700"/>
      <c r="C262" s="307" t="s">
        <v>1246</v>
      </c>
      <c r="D262" s="5627"/>
      <c r="E262" s="5426"/>
      <c r="F262" s="5566"/>
      <c r="G262" s="338"/>
      <c r="H262" s="1421"/>
      <c r="I262" s="589"/>
      <c r="J262" s="509"/>
      <c r="K262" s="1421"/>
      <c r="L262" s="152"/>
      <c r="M262" s="279"/>
      <c r="N262" s="272"/>
      <c r="O262" s="1545"/>
      <c r="P262" s="1545"/>
      <c r="AH262" s="1552">
        <v>0</v>
      </c>
    </row>
    <row r="263" spans="1:34" s="4267" customFormat="1" ht="18.75" hidden="1" customHeight="1">
      <c r="A263" s="1700" t="s">
        <v>289</v>
      </c>
      <c r="B263" s="1700" t="s">
        <v>290</v>
      </c>
      <c r="C263" s="307"/>
      <c r="D263" s="5627"/>
      <c r="E263" s="5426"/>
      <c r="F263" s="5566" t="str">
        <f>INDEX(PT_DIFFERENTIATION_VTAR,MATCH(A263,PT_DIFFERENTIATION_VTAR_ID,0))</f>
        <v>Тариф на подключение (технологическое присоединение) к централизованной системе горячего водоснабжения</v>
      </c>
      <c r="G263" s="5602" t="str">
        <f>INDEX(PT_DIFFERENTIATION_NTAR,MATCH(B263,PT_DIFFERENTIATION_NTAR_ID,0))</f>
        <v/>
      </c>
      <c r="H263" s="1780"/>
      <c r="I263" s="1659"/>
      <c r="J263" s="1693"/>
      <c r="K263" s="1698"/>
      <c r="L263" s="1780" t="s">
        <v>399</v>
      </c>
      <c r="M263" s="279"/>
      <c r="N263" s="272"/>
      <c r="O263" s="1545"/>
      <c r="P263" s="1545"/>
      <c r="AH263" s="1552">
        <v>0</v>
      </c>
    </row>
    <row r="264" spans="1:34" s="4267" customFormat="1" ht="18.75" hidden="1" customHeight="1">
      <c r="A264" s="1700"/>
      <c r="B264" s="1700"/>
      <c r="C264" s="307" t="s">
        <v>1237</v>
      </c>
      <c r="D264" s="5627"/>
      <c r="E264" s="5426"/>
      <c r="F264" s="5566"/>
      <c r="G264" s="5602"/>
      <c r="H264" s="1421"/>
      <c r="I264" s="589" t="s">
        <v>1236</v>
      </c>
      <c r="J264" s="509"/>
      <c r="K264" s="1421"/>
      <c r="L264" s="152"/>
      <c r="M264" s="279"/>
      <c r="N264" s="272"/>
      <c r="O264" s="1545"/>
      <c r="P264" s="1545"/>
      <c r="AH264" s="1552">
        <v>0</v>
      </c>
    </row>
    <row r="265" spans="1:34" s="4267" customFormat="1" ht="0.75" hidden="1" customHeight="1">
      <c r="A265" s="1700"/>
      <c r="B265" s="1700"/>
      <c r="C265" s="307" t="s">
        <v>1246</v>
      </c>
      <c r="D265" s="5627"/>
      <c r="E265" s="5426"/>
      <c r="F265" s="5566"/>
      <c r="G265" s="338"/>
      <c r="H265" s="1421"/>
      <c r="I265" s="589"/>
      <c r="J265" s="509"/>
      <c r="K265" s="1421"/>
      <c r="L265" s="152"/>
      <c r="M265" s="279"/>
      <c r="N265" s="272"/>
      <c r="O265" s="1545"/>
      <c r="P265" s="1545"/>
      <c r="AH265" s="1552">
        <v>0</v>
      </c>
    </row>
    <row r="266" spans="1:34" s="4267" customFormat="1" ht="18.75" customHeight="1">
      <c r="A266" s="1700" t="s">
        <v>296</v>
      </c>
      <c r="B266" s="1700" t="s">
        <v>297</v>
      </c>
      <c r="C266" s="307"/>
      <c r="D266" s="5627"/>
      <c r="E266" s="5426"/>
      <c r="F266" s="5566" t="str">
        <f>INDEX(PT_DIFFERENTIATION_VTAR,MATCH(A266,PT_DIFFERENTIATION_VTAR_ID,0))</f>
        <v>Тариф на водоотведение</v>
      </c>
      <c r="G266" s="5602" t="str">
        <f>INDEX(PT_DIFFERENTIATION_NTAR,MATCH(B266,PT_DIFFERENTIATION_NTAR_ID,0))</f>
        <v>Тариф на водоотведение</v>
      </c>
      <c r="H266" s="1780"/>
      <c r="I266" s="4254">
        <v>45658.695335648146</v>
      </c>
      <c r="J266" s="4255">
        <v>47118.695451388892</v>
      </c>
      <c r="K266" s="1698">
        <v>0</v>
      </c>
      <c r="L266" s="1780" t="s">
        <v>399</v>
      </c>
      <c r="M266" s="279"/>
      <c r="N266" s="272"/>
      <c r="O266" s="1545"/>
      <c r="P266" s="1545"/>
      <c r="AH266" s="1552">
        <v>0</v>
      </c>
    </row>
    <row r="267" spans="1:34" s="4267" customFormat="1" ht="18.75" customHeight="1">
      <c r="A267" s="1700"/>
      <c r="B267" s="1700"/>
      <c r="C267" s="307" t="s">
        <v>1237</v>
      </c>
      <c r="D267" s="5627"/>
      <c r="E267" s="5426"/>
      <c r="F267" s="5566"/>
      <c r="G267" s="5602"/>
      <c r="H267" s="1421"/>
      <c r="I267" s="589" t="s">
        <v>1236</v>
      </c>
      <c r="J267" s="509"/>
      <c r="K267" s="1421"/>
      <c r="L267" s="152"/>
      <c r="M267" s="279"/>
      <c r="N267" s="272"/>
      <c r="O267" s="1545"/>
      <c r="P267" s="1545"/>
      <c r="AH267" s="1552">
        <v>0</v>
      </c>
    </row>
    <row r="268" spans="1:34" s="4267" customFormat="1" ht="0.75" customHeight="1">
      <c r="A268" s="1700"/>
      <c r="B268" s="1700"/>
      <c r="C268" s="307" t="s">
        <v>1246</v>
      </c>
      <c r="D268" s="5627"/>
      <c r="E268" s="5426"/>
      <c r="F268" s="5566"/>
      <c r="G268" s="338"/>
      <c r="H268" s="1421"/>
      <c r="I268" s="589"/>
      <c r="J268" s="509"/>
      <c r="K268" s="1421"/>
      <c r="L268" s="152"/>
      <c r="M268" s="279"/>
      <c r="N268" s="272"/>
      <c r="O268" s="1545"/>
      <c r="P268" s="1545"/>
      <c r="AH268" s="1552">
        <v>0</v>
      </c>
    </row>
    <row r="269" spans="1:34" s="4267" customFormat="1" ht="18.75" hidden="1" customHeight="1">
      <c r="A269" s="1700" t="s">
        <v>363</v>
      </c>
      <c r="B269" s="1700" t="s">
        <v>364</v>
      </c>
      <c r="C269" s="307"/>
      <c r="D269" s="5627"/>
      <c r="E269" s="5426"/>
      <c r="F269" s="5566" t="str">
        <f>INDEX(PT_DIFFERENTIATION_VTAR,MATCH(A269,PT_DIFFERENTIATION_VTAR_ID,0))</f>
        <v>Тариф на транспортировку сточных вод</v>
      </c>
      <c r="G269" s="5602" t="str">
        <f>INDEX(PT_DIFFERENTIATION_NTAR,MATCH(B269,PT_DIFFERENTIATION_NTAR_ID,0))</f>
        <v/>
      </c>
      <c r="H269" s="1780"/>
      <c r="I269" s="1659"/>
      <c r="J269" s="1693"/>
      <c r="K269" s="1698"/>
      <c r="L269" s="1780" t="s">
        <v>399</v>
      </c>
      <c r="M269" s="279"/>
      <c r="N269" s="272"/>
      <c r="O269" s="1545"/>
      <c r="P269" s="1545"/>
      <c r="AH269" s="1552">
        <v>0</v>
      </c>
    </row>
    <row r="270" spans="1:34" s="4267" customFormat="1" ht="18.75" hidden="1" customHeight="1">
      <c r="A270" s="1700"/>
      <c r="B270" s="1700"/>
      <c r="C270" s="307" t="s">
        <v>1237</v>
      </c>
      <c r="D270" s="5627"/>
      <c r="E270" s="5426"/>
      <c r="F270" s="5566"/>
      <c r="G270" s="5602"/>
      <c r="H270" s="1421"/>
      <c r="I270" s="589" t="s">
        <v>1236</v>
      </c>
      <c r="J270" s="509"/>
      <c r="K270" s="1421"/>
      <c r="L270" s="152"/>
      <c r="M270" s="279"/>
      <c r="N270" s="272"/>
      <c r="O270" s="1545"/>
      <c r="P270" s="1545"/>
      <c r="AH270" s="1552">
        <v>0</v>
      </c>
    </row>
    <row r="271" spans="1:34" s="4267" customFormat="1" ht="0.75" hidden="1" customHeight="1">
      <c r="A271" s="1700"/>
      <c r="B271" s="1700"/>
      <c r="C271" s="307" t="s">
        <v>1246</v>
      </c>
      <c r="D271" s="5627"/>
      <c r="E271" s="5426"/>
      <c r="F271" s="5566"/>
      <c r="G271" s="338"/>
      <c r="H271" s="1421"/>
      <c r="I271" s="589"/>
      <c r="J271" s="509"/>
      <c r="K271" s="1421"/>
      <c r="L271" s="152"/>
      <c r="M271" s="279"/>
      <c r="N271" s="272"/>
      <c r="O271" s="1545"/>
      <c r="P271" s="1545"/>
      <c r="AH271" s="1552">
        <v>0</v>
      </c>
    </row>
    <row r="272" spans="1:34" s="4267" customFormat="1" ht="18.75" hidden="1" customHeight="1">
      <c r="A272" s="1700" t="s">
        <v>368</v>
      </c>
      <c r="B272" s="1700" t="s">
        <v>369</v>
      </c>
      <c r="C272" s="307"/>
      <c r="D272" s="5627"/>
      <c r="E272" s="5426"/>
      <c r="F272" s="5566" t="str">
        <f>INDEX(PT_DIFFERENTIATION_VTAR,MATCH(A272,PT_DIFFERENTIATION_VTAR_ID,0))</f>
        <v>Тариф на подключение (технологическое присоединение) к централизованной системе водоотведения</v>
      </c>
      <c r="G272" s="5602" t="str">
        <f>INDEX(PT_DIFFERENTIATION_NTAR,MATCH(B272,PT_DIFFERENTIATION_NTAR_ID,0))</f>
        <v/>
      </c>
      <c r="H272" s="1780"/>
      <c r="I272" s="1659"/>
      <c r="J272" s="1693"/>
      <c r="K272" s="1698"/>
      <c r="L272" s="1780" t="s">
        <v>399</v>
      </c>
      <c r="M272" s="279"/>
      <c r="N272" s="272"/>
      <c r="O272" s="1545"/>
      <c r="P272" s="1545"/>
      <c r="AH272" s="1552">
        <v>0</v>
      </c>
    </row>
    <row r="273" spans="1:34" s="4267" customFormat="1" ht="18.75" hidden="1" customHeight="1">
      <c r="A273" s="1700"/>
      <c r="B273" s="1700"/>
      <c r="C273" s="307" t="s">
        <v>1237</v>
      </c>
      <c r="D273" s="5627"/>
      <c r="E273" s="5426"/>
      <c r="F273" s="5566"/>
      <c r="G273" s="5602"/>
      <c r="H273" s="1421"/>
      <c r="I273" s="589" t="s">
        <v>1236</v>
      </c>
      <c r="J273" s="509"/>
      <c r="K273" s="1421"/>
      <c r="L273" s="152"/>
      <c r="M273" s="279"/>
      <c r="N273" s="272"/>
      <c r="O273" s="1545"/>
      <c r="P273" s="1545"/>
      <c r="AH273" s="1552">
        <v>0</v>
      </c>
    </row>
    <row r="274" spans="1:34" s="4267" customFormat="1" ht="1.1499999999999999" customHeight="1">
      <c r="A274" s="1700"/>
      <c r="B274" s="1700"/>
      <c r="C274" s="307" t="s">
        <v>1246</v>
      </c>
      <c r="D274" s="5627"/>
      <c r="E274" s="5426"/>
      <c r="F274" s="5566"/>
      <c r="G274" s="338"/>
      <c r="H274" s="1421"/>
      <c r="I274" s="589"/>
      <c r="J274" s="509"/>
      <c r="K274" s="1421"/>
      <c r="L274" s="152"/>
      <c r="M274" s="279"/>
      <c r="N274" s="272"/>
      <c r="O274" s="1545"/>
      <c r="P274" s="1545"/>
      <c r="AH274" s="1552">
        <v>1</v>
      </c>
    </row>
    <row r="275" spans="1:34" ht="27.4" customHeight="1">
      <c r="A275" s="1700"/>
      <c r="B275" s="1700"/>
      <c r="D275" s="314"/>
      <c r="E275" s="86" t="s">
        <v>92</v>
      </c>
      <c r="F275" s="562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5" s="5626"/>
      <c r="H275" s="5626"/>
      <c r="I275" s="5626"/>
      <c r="J275" s="5626"/>
      <c r="K275" s="5626"/>
      <c r="L275" s="5626"/>
      <c r="M275" s="235"/>
      <c r="N275" s="272"/>
      <c r="AH275" s="312">
        <v>26</v>
      </c>
    </row>
    <row r="276" spans="1:34" s="4267" customFormat="1" ht="60.75" hidden="1" customHeight="1">
      <c r="A276" s="1700" t="s">
        <v>186</v>
      </c>
      <c r="B276" s="1700" t="s">
        <v>187</v>
      </c>
      <c r="C276" s="307"/>
      <c r="D276" s="5627"/>
      <c r="E276" s="5426"/>
      <c r="F276" s="5566" t="str">
        <f>INDEX(PT_DIFFERENTIATION_VTAR,MATCH(A276,PT_DIFFERENTIATION_VTAR_ID,0))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6" s="5602" t="str">
        <f>INDEX(PT_DIFFERENTIATION_NTAR,MATCH(B276,PT_DIFFERENTIATION_NTAR_ID,0))</f>
        <v/>
      </c>
      <c r="H276" s="1780"/>
      <c r="I276" s="1659"/>
      <c r="J276" s="1693"/>
      <c r="K276" s="1698"/>
      <c r="L276" s="1780" t="s">
        <v>399</v>
      </c>
      <c r="M276" s="53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6" s="272"/>
      <c r="O276" s="1545"/>
      <c r="P276" s="1545"/>
      <c r="AH276" s="1552">
        <v>0</v>
      </c>
    </row>
    <row r="277" spans="1:34" s="4267" customFormat="1" ht="18.75" hidden="1" customHeight="1">
      <c r="A277" s="1700"/>
      <c r="B277" s="1700"/>
      <c r="C277" s="307" t="s">
        <v>1237</v>
      </c>
      <c r="D277" s="5627"/>
      <c r="E277" s="5426"/>
      <c r="F277" s="5566"/>
      <c r="G277" s="5602"/>
      <c r="H277" s="1421"/>
      <c r="I277" s="589" t="s">
        <v>1236</v>
      </c>
      <c r="J277" s="509"/>
      <c r="K277" s="1421"/>
      <c r="L277" s="152"/>
      <c r="M277" s="5378"/>
      <c r="N277" s="272"/>
      <c r="O277" s="1545"/>
      <c r="P277" s="1545"/>
      <c r="AH277" s="1552">
        <v>0</v>
      </c>
    </row>
    <row r="278" spans="1:34" s="4267" customFormat="1" ht="0.75" hidden="1" customHeight="1">
      <c r="A278" s="1700"/>
      <c r="B278" s="1700"/>
      <c r="C278" s="307" t="s">
        <v>1246</v>
      </c>
      <c r="D278" s="5627"/>
      <c r="E278" s="5426"/>
      <c r="F278" s="5566"/>
      <c r="G278" s="338"/>
      <c r="H278" s="1421"/>
      <c r="I278" s="589"/>
      <c r="J278" s="509"/>
      <c r="K278" s="1421"/>
      <c r="L278" s="152"/>
      <c r="M278" s="5378"/>
      <c r="N278" s="272"/>
      <c r="O278" s="1545"/>
      <c r="P278" s="1545"/>
      <c r="AH278" s="1552">
        <v>0</v>
      </c>
    </row>
    <row r="279" spans="1:34" s="4267" customFormat="1" ht="45" hidden="1" customHeight="1">
      <c r="A279" s="1700" t="s">
        <v>191</v>
      </c>
      <c r="B279" s="1700" t="s">
        <v>192</v>
      </c>
      <c r="C279" s="307"/>
      <c r="D279" s="5627"/>
      <c r="E279" s="5426"/>
      <c r="F279" s="5566" t="str">
        <f>INDEX(PT_DIFFERENTIATION_VTAR,MATCH(A279,PT_DIFFERENTIATION_VTAR_ID,0))</f>
        <v/>
      </c>
      <c r="G279" s="5602" t="str">
        <f>INDEX(PT_DIFFERENTIATION_NTAR,MATCH(B279,PT_DIFFERENTIATION_NTAR_ID,0))</f>
        <v/>
      </c>
      <c r="H279" s="1780"/>
      <c r="I279" s="1659"/>
      <c r="J279" s="1693"/>
      <c r="K279" s="1698"/>
      <c r="L279" s="1780" t="s">
        <v>399</v>
      </c>
      <c r="M279" s="5379"/>
      <c r="N279" s="272"/>
      <c r="O279" s="1545"/>
      <c r="P279" s="1545"/>
      <c r="AH279" s="1552">
        <v>0</v>
      </c>
    </row>
    <row r="280" spans="1:34" s="4267" customFormat="1" ht="18.75" hidden="1" customHeight="1">
      <c r="A280" s="1700"/>
      <c r="B280" s="1700"/>
      <c r="C280" s="307" t="s">
        <v>1237</v>
      </c>
      <c r="D280" s="5627"/>
      <c r="E280" s="5426"/>
      <c r="F280" s="5566"/>
      <c r="G280" s="5602"/>
      <c r="H280" s="1421"/>
      <c r="I280" s="589" t="s">
        <v>1236</v>
      </c>
      <c r="J280" s="509"/>
      <c r="K280" s="1421"/>
      <c r="L280" s="152"/>
      <c r="M280" s="1779"/>
      <c r="N280" s="272"/>
      <c r="O280" s="1545"/>
      <c r="P280" s="1545"/>
      <c r="AH280" s="1552">
        <v>0</v>
      </c>
    </row>
    <row r="281" spans="1:34" s="4267" customFormat="1" ht="0.75" hidden="1" customHeight="1">
      <c r="A281" s="1700"/>
      <c r="B281" s="1700"/>
      <c r="C281" s="307" t="s">
        <v>1246</v>
      </c>
      <c r="D281" s="5627"/>
      <c r="E281" s="5426"/>
      <c r="F281" s="5566"/>
      <c r="G281" s="338"/>
      <c r="H281" s="1421"/>
      <c r="I281" s="589"/>
      <c r="J281" s="509"/>
      <c r="K281" s="1421"/>
      <c r="L281" s="152"/>
      <c r="M281" s="279"/>
      <c r="N281" s="272"/>
      <c r="O281" s="1545"/>
      <c r="P281" s="1545"/>
      <c r="AH281" s="1552">
        <v>0</v>
      </c>
    </row>
    <row r="282" spans="1:34" s="4267" customFormat="1" ht="45" hidden="1" customHeight="1">
      <c r="A282" s="1700" t="s">
        <v>198</v>
      </c>
      <c r="B282" s="1700" t="s">
        <v>199</v>
      </c>
      <c r="C282" s="307"/>
      <c r="D282" s="5627"/>
      <c r="E282" s="5426"/>
      <c r="F282" s="5566" t="str">
        <f>INDEX(PT_DIFFERENTIATION_VTAR,MATCH(A282,PT_DIFFERENTIATION_VTAR_ID,0))</f>
        <v>Тарифы на теплоноситель, поставляемый теплоснабжающими организациями потребителям, другим теплоснабжающим организациям</v>
      </c>
      <c r="G282" s="5602" t="str">
        <f>INDEX(PT_DIFFERENTIATION_NTAR,MATCH(B282,PT_DIFFERENTIATION_NTAR_ID,0))</f>
        <v/>
      </c>
      <c r="H282" s="1780"/>
      <c r="I282" s="1659"/>
      <c r="J282" s="1693"/>
      <c r="K282" s="1698"/>
      <c r="L282" s="1780" t="s">
        <v>399</v>
      </c>
      <c r="M282" s="279"/>
      <c r="N282" s="272"/>
      <c r="O282" s="1545"/>
      <c r="P282" s="1545"/>
      <c r="AH282" s="1552">
        <v>0</v>
      </c>
    </row>
    <row r="283" spans="1:34" s="4267" customFormat="1" ht="18.75" hidden="1" customHeight="1">
      <c r="A283" s="1700"/>
      <c r="B283" s="1700"/>
      <c r="C283" s="307" t="s">
        <v>1237</v>
      </c>
      <c r="D283" s="5627"/>
      <c r="E283" s="5426"/>
      <c r="F283" s="5566"/>
      <c r="G283" s="5602"/>
      <c r="H283" s="1421"/>
      <c r="I283" s="589" t="s">
        <v>1236</v>
      </c>
      <c r="J283" s="509"/>
      <c r="K283" s="1421"/>
      <c r="L283" s="152"/>
      <c r="M283" s="279"/>
      <c r="N283" s="272"/>
      <c r="O283" s="1545"/>
      <c r="P283" s="1545"/>
      <c r="AH283" s="1552">
        <v>0</v>
      </c>
    </row>
    <row r="284" spans="1:34" s="4267" customFormat="1" ht="0.75" hidden="1" customHeight="1">
      <c r="A284" s="1700"/>
      <c r="B284" s="1700"/>
      <c r="C284" s="307" t="s">
        <v>1246</v>
      </c>
      <c r="D284" s="5627"/>
      <c r="E284" s="5426"/>
      <c r="F284" s="5566"/>
      <c r="G284" s="338"/>
      <c r="H284" s="1421"/>
      <c r="I284" s="589"/>
      <c r="J284" s="509"/>
      <c r="K284" s="1421"/>
      <c r="L284" s="152"/>
      <c r="M284" s="279"/>
      <c r="N284" s="272"/>
      <c r="O284" s="1545"/>
      <c r="P284" s="1545"/>
      <c r="AH284" s="1552">
        <v>0</v>
      </c>
    </row>
    <row r="285" spans="1:34" s="4267" customFormat="1" ht="45" hidden="1" customHeight="1">
      <c r="A285" s="1700" t="s">
        <v>204</v>
      </c>
      <c r="B285" s="1700" t="s">
        <v>205</v>
      </c>
      <c r="C285" s="307"/>
      <c r="D285" s="5627"/>
      <c r="E285" s="5426"/>
      <c r="F285" s="5566" t="str">
        <f>INDEX(PT_DIFFERENTIATION_VTAR,MATCH(A285,PT_DIFFERENTIATION_VTAR_ID,0))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5" s="5602" t="str">
        <f>INDEX(PT_DIFFERENTIATION_NTAR,MATCH(B285,PT_DIFFERENTIATION_NTAR_ID,0))</f>
        <v/>
      </c>
      <c r="H285" s="1780"/>
      <c r="I285" s="1659"/>
      <c r="J285" s="1693"/>
      <c r="K285" s="1698"/>
      <c r="L285" s="1780" t="s">
        <v>399</v>
      </c>
      <c r="M285" s="279"/>
      <c r="N285" s="272"/>
      <c r="O285" s="1545"/>
      <c r="P285" s="1545"/>
      <c r="AH285" s="1552">
        <v>0</v>
      </c>
    </row>
    <row r="286" spans="1:34" s="4267" customFormat="1" ht="18.75" hidden="1" customHeight="1">
      <c r="A286" s="1700"/>
      <c r="B286" s="1700"/>
      <c r="C286" s="307" t="s">
        <v>1237</v>
      </c>
      <c r="D286" s="5627"/>
      <c r="E286" s="5426"/>
      <c r="F286" s="5566"/>
      <c r="G286" s="5602"/>
      <c r="H286" s="1421"/>
      <c r="I286" s="589" t="s">
        <v>1236</v>
      </c>
      <c r="J286" s="509"/>
      <c r="K286" s="1421"/>
      <c r="L286" s="152"/>
      <c r="M286" s="279"/>
      <c r="N286" s="272"/>
      <c r="O286" s="1545"/>
      <c r="P286" s="1545"/>
      <c r="AH286" s="1552">
        <v>0</v>
      </c>
    </row>
    <row r="287" spans="1:34" s="4267" customFormat="1" ht="0.75" hidden="1" customHeight="1">
      <c r="A287" s="1700"/>
      <c r="B287" s="1700"/>
      <c r="C287" s="307" t="s">
        <v>1246</v>
      </c>
      <c r="D287" s="5627"/>
      <c r="E287" s="5426"/>
      <c r="F287" s="5566"/>
      <c r="G287" s="338"/>
      <c r="H287" s="1421"/>
      <c r="I287" s="589"/>
      <c r="J287" s="509"/>
      <c r="K287" s="1421"/>
      <c r="L287" s="152"/>
      <c r="M287" s="279"/>
      <c r="N287" s="272"/>
      <c r="O287" s="1545"/>
      <c r="P287" s="1545"/>
      <c r="AH287" s="1552">
        <v>0</v>
      </c>
    </row>
    <row r="288" spans="1:34" s="4267" customFormat="1" ht="18.75" hidden="1" customHeight="1">
      <c r="A288" s="1700" t="s">
        <v>210</v>
      </c>
      <c r="B288" s="1700" t="s">
        <v>211</v>
      </c>
      <c r="C288" s="307"/>
      <c r="D288" s="5627"/>
      <c r="E288" s="5426"/>
      <c r="F288" s="5566" t="str">
        <f>INDEX(PT_DIFFERENTIATION_VTAR,MATCH(A288,PT_DIFFERENTIATION_VTAR_ID,0))</f>
        <v>Тарифы на услуги по передаче тепловой энергии</v>
      </c>
      <c r="G288" s="5602" t="str">
        <f>INDEX(PT_DIFFERENTIATION_NTAR,MATCH(B288,PT_DIFFERENTIATION_NTAR_ID,0))</f>
        <v/>
      </c>
      <c r="H288" s="1780"/>
      <c r="I288" s="1659"/>
      <c r="J288" s="1693"/>
      <c r="K288" s="1698"/>
      <c r="L288" s="1780" t="s">
        <v>399</v>
      </c>
      <c r="M288" s="279"/>
      <c r="N288" s="272"/>
      <c r="O288" s="1545"/>
      <c r="P288" s="1545"/>
      <c r="AH288" s="1552">
        <v>0</v>
      </c>
    </row>
    <row r="289" spans="1:34" s="4267" customFormat="1" ht="18.75" hidden="1" customHeight="1">
      <c r="A289" s="1700"/>
      <c r="B289" s="1700"/>
      <c r="C289" s="307" t="s">
        <v>1237</v>
      </c>
      <c r="D289" s="5627"/>
      <c r="E289" s="5426"/>
      <c r="F289" s="5566"/>
      <c r="G289" s="5602"/>
      <c r="H289" s="1421"/>
      <c r="I289" s="589" t="s">
        <v>1236</v>
      </c>
      <c r="J289" s="509"/>
      <c r="K289" s="1421"/>
      <c r="L289" s="152"/>
      <c r="M289" s="279"/>
      <c r="N289" s="272"/>
      <c r="O289" s="1545"/>
      <c r="P289" s="1545"/>
      <c r="AH289" s="1552">
        <v>0</v>
      </c>
    </row>
    <row r="290" spans="1:34" s="4267" customFormat="1" ht="0.75" hidden="1" customHeight="1">
      <c r="A290" s="1700"/>
      <c r="B290" s="1700"/>
      <c r="C290" s="307" t="s">
        <v>1246</v>
      </c>
      <c r="D290" s="5627"/>
      <c r="E290" s="5426"/>
      <c r="F290" s="5566"/>
      <c r="G290" s="338"/>
      <c r="H290" s="1421"/>
      <c r="I290" s="589"/>
      <c r="J290" s="509"/>
      <c r="K290" s="1421"/>
      <c r="L290" s="152"/>
      <c r="M290" s="279"/>
      <c r="N290" s="272"/>
      <c r="O290" s="1545"/>
      <c r="P290" s="1545"/>
      <c r="AH290" s="1552">
        <v>0</v>
      </c>
    </row>
    <row r="291" spans="1:34" s="4267" customFormat="1" ht="18.75" hidden="1" customHeight="1">
      <c r="A291" s="1700" t="s">
        <v>216</v>
      </c>
      <c r="B291" s="1700" t="s">
        <v>217</v>
      </c>
      <c r="C291" s="307"/>
      <c r="D291" s="5627"/>
      <c r="E291" s="5426"/>
      <c r="F291" s="5566" t="str">
        <f>INDEX(PT_DIFFERENTIATION_VTAR,MATCH(A291,PT_DIFFERENTIATION_VTAR_ID,0))</f>
        <v>Тарифы на услуги по передаче теплоносителя</v>
      </c>
      <c r="G291" s="5602" t="str">
        <f>INDEX(PT_DIFFERENTIATION_NTAR,MATCH(B291,PT_DIFFERENTIATION_NTAR_ID,0))</f>
        <v/>
      </c>
      <c r="H291" s="1780"/>
      <c r="I291" s="1659"/>
      <c r="J291" s="1693"/>
      <c r="K291" s="1698"/>
      <c r="L291" s="1780" t="s">
        <v>399</v>
      </c>
      <c r="M291" s="279"/>
      <c r="N291" s="272"/>
      <c r="O291" s="1545"/>
      <c r="P291" s="1545"/>
      <c r="AH291" s="1552">
        <v>0</v>
      </c>
    </row>
    <row r="292" spans="1:34" s="4267" customFormat="1" ht="18.75" hidden="1" customHeight="1">
      <c r="A292" s="1700"/>
      <c r="B292" s="1700"/>
      <c r="C292" s="307" t="s">
        <v>1237</v>
      </c>
      <c r="D292" s="5627"/>
      <c r="E292" s="5426"/>
      <c r="F292" s="5566"/>
      <c r="G292" s="5602"/>
      <c r="H292" s="1421"/>
      <c r="I292" s="589" t="s">
        <v>1236</v>
      </c>
      <c r="J292" s="509"/>
      <c r="K292" s="1421"/>
      <c r="L292" s="152"/>
      <c r="M292" s="279"/>
      <c r="N292" s="272"/>
      <c r="O292" s="1545"/>
      <c r="P292" s="1545"/>
      <c r="AH292" s="1552">
        <v>0</v>
      </c>
    </row>
    <row r="293" spans="1:34" s="4267" customFormat="1" ht="0.75" hidden="1" customHeight="1">
      <c r="A293" s="1700"/>
      <c r="B293" s="1700"/>
      <c r="C293" s="307" t="s">
        <v>1246</v>
      </c>
      <c r="D293" s="5627"/>
      <c r="E293" s="5426"/>
      <c r="F293" s="5566"/>
      <c r="G293" s="338"/>
      <c r="H293" s="1421"/>
      <c r="I293" s="589"/>
      <c r="J293" s="509"/>
      <c r="K293" s="1421"/>
      <c r="L293" s="152"/>
      <c r="M293" s="279"/>
      <c r="N293" s="272"/>
      <c r="O293" s="1545"/>
      <c r="P293" s="1545"/>
      <c r="AH293" s="1552">
        <v>0</v>
      </c>
    </row>
    <row r="294" spans="1:34" s="4267" customFormat="1" ht="18.75" hidden="1" customHeight="1">
      <c r="A294" s="1700" t="s">
        <v>222</v>
      </c>
      <c r="B294" s="1700" t="s">
        <v>223</v>
      </c>
      <c r="C294" s="307"/>
      <c r="D294" s="5627"/>
      <c r="E294" s="5426"/>
      <c r="F294" s="5566" t="str">
        <f>INDEX(PT_DIFFERENTIATION_VTAR,MATCH(A294,PT_DIFFERENTIATION_VTAR_ID,0))</f>
        <v>Плата за услуги по поддержанию резервной тепловой мощности при отсутствии потребления тепловой энергии</v>
      </c>
      <c r="G294" s="5602" t="str">
        <f>INDEX(PT_DIFFERENTIATION_NTAR,MATCH(B294,PT_DIFFERENTIATION_NTAR_ID,0))</f>
        <v/>
      </c>
      <c r="H294" s="1780"/>
      <c r="I294" s="1659"/>
      <c r="J294" s="1693"/>
      <c r="K294" s="1698"/>
      <c r="L294" s="1780" t="s">
        <v>399</v>
      </c>
      <c r="M294" s="279"/>
      <c r="N294" s="272"/>
      <c r="O294" s="1545"/>
      <c r="P294" s="1545"/>
      <c r="AH294" s="1552">
        <v>0</v>
      </c>
    </row>
    <row r="295" spans="1:34" s="4267" customFormat="1" ht="18.75" hidden="1" customHeight="1">
      <c r="A295" s="1700"/>
      <c r="B295" s="1700"/>
      <c r="C295" s="307" t="s">
        <v>1237</v>
      </c>
      <c r="D295" s="5627"/>
      <c r="E295" s="5426"/>
      <c r="F295" s="5566"/>
      <c r="G295" s="5602"/>
      <c r="H295" s="1421"/>
      <c r="I295" s="589" t="s">
        <v>1236</v>
      </c>
      <c r="J295" s="509"/>
      <c r="K295" s="1421"/>
      <c r="L295" s="152"/>
      <c r="M295" s="279"/>
      <c r="N295" s="272"/>
      <c r="O295" s="1545"/>
      <c r="P295" s="1545"/>
      <c r="AH295" s="1552">
        <v>0</v>
      </c>
    </row>
    <row r="296" spans="1:34" s="4267" customFormat="1" ht="0.75" hidden="1" customHeight="1">
      <c r="A296" s="1700"/>
      <c r="B296" s="1700"/>
      <c r="C296" s="307" t="s">
        <v>1246</v>
      </c>
      <c r="D296" s="5627"/>
      <c r="E296" s="5426"/>
      <c r="F296" s="5566"/>
      <c r="G296" s="338"/>
      <c r="H296" s="1421"/>
      <c r="I296" s="589"/>
      <c r="J296" s="509"/>
      <c r="K296" s="1421"/>
      <c r="L296" s="152"/>
      <c r="M296" s="279"/>
      <c r="N296" s="272"/>
      <c r="O296" s="1545"/>
      <c r="P296" s="1545"/>
      <c r="AH296" s="1552">
        <v>0</v>
      </c>
    </row>
    <row r="297" spans="1:34" s="4267" customFormat="1" ht="18.75" hidden="1" customHeight="1">
      <c r="A297" s="1700" t="s">
        <v>228</v>
      </c>
      <c r="B297" s="1700" t="s">
        <v>229</v>
      </c>
      <c r="C297" s="307"/>
      <c r="D297" s="5627"/>
      <c r="E297" s="5426"/>
      <c r="F297" s="5566" t="str">
        <f>INDEX(PT_DIFFERENTIATION_VTAR,MATCH(A297,PT_DIFFERENTIATION_VTAR_ID,0))</f>
        <v>Плата за подключение (технологическое присоединение) к системе теплоснабжения</v>
      </c>
      <c r="G297" s="5602" t="str">
        <f>INDEX(PT_DIFFERENTIATION_NTAR,MATCH(B297,PT_DIFFERENTIATION_NTAR_ID,0))</f>
        <v/>
      </c>
      <c r="H297" s="1780"/>
      <c r="I297" s="1659"/>
      <c r="J297" s="1693"/>
      <c r="K297" s="1698"/>
      <c r="L297" s="1780" t="s">
        <v>399</v>
      </c>
      <c r="M297" s="279"/>
      <c r="N297" s="272"/>
      <c r="O297" s="1545"/>
      <c r="P297" s="1545"/>
      <c r="AH297" s="1552">
        <v>0</v>
      </c>
    </row>
    <row r="298" spans="1:34" s="4267" customFormat="1" ht="18.75" hidden="1" customHeight="1">
      <c r="A298" s="1700"/>
      <c r="B298" s="1700"/>
      <c r="C298" s="307" t="s">
        <v>1237</v>
      </c>
      <c r="D298" s="5627"/>
      <c r="E298" s="5426"/>
      <c r="F298" s="5566"/>
      <c r="G298" s="5602"/>
      <c r="H298" s="1421"/>
      <c r="I298" s="589" t="s">
        <v>1236</v>
      </c>
      <c r="J298" s="509"/>
      <c r="K298" s="1421"/>
      <c r="L298" s="152"/>
      <c r="M298" s="279"/>
      <c r="N298" s="272"/>
      <c r="O298" s="1545"/>
      <c r="P298" s="1545"/>
      <c r="AH298" s="1552">
        <v>0</v>
      </c>
    </row>
    <row r="299" spans="1:34" s="4267" customFormat="1" ht="0.75" hidden="1" customHeight="1">
      <c r="A299" s="1700"/>
      <c r="B299" s="1700"/>
      <c r="C299" s="307" t="s">
        <v>1246</v>
      </c>
      <c r="D299" s="5627"/>
      <c r="E299" s="5426"/>
      <c r="F299" s="5566"/>
      <c r="G299" s="338"/>
      <c r="H299" s="1421"/>
      <c r="I299" s="589"/>
      <c r="J299" s="509"/>
      <c r="K299" s="1421"/>
      <c r="L299" s="152"/>
      <c r="M299" s="279"/>
      <c r="N299" s="272"/>
      <c r="O299" s="1545"/>
      <c r="P299" s="1545"/>
      <c r="AH299" s="1552">
        <v>0</v>
      </c>
    </row>
    <row r="300" spans="1:34" s="4267" customFormat="1" ht="18.75" hidden="1" customHeight="1">
      <c r="A300" s="1700" t="s">
        <v>234</v>
      </c>
      <c r="B300" s="1700" t="s">
        <v>235</v>
      </c>
      <c r="C300" s="307"/>
      <c r="D300" s="5627"/>
      <c r="E300" s="5426"/>
      <c r="F300" s="5566" t="str">
        <f>INDEX(PT_DIFFERENTIATION_VTAR,MATCH(A300,PT_DIFFERENTIATION_VTAR_ID,0))</f>
        <v>Плата за подключение (технологическое присоединение) к системе теплоснабжения (индивидуальная)</v>
      </c>
      <c r="G300" s="5602" t="str">
        <f>INDEX(PT_DIFFERENTIATION_NTAR,MATCH(B300,PT_DIFFERENTIATION_NTAR_ID,0))</f>
        <v/>
      </c>
      <c r="H300" s="1904"/>
      <c r="I300" s="1659"/>
      <c r="J300" s="1693"/>
      <c r="K300" s="1698"/>
      <c r="L300" s="1904" t="s">
        <v>399</v>
      </c>
      <c r="M300" s="279"/>
      <c r="N300" s="272"/>
      <c r="O300" s="1545"/>
      <c r="P300" s="1545"/>
      <c r="AH300" s="1552">
        <v>0</v>
      </c>
    </row>
    <row r="301" spans="1:34" s="4267" customFormat="1" ht="18.75" hidden="1" customHeight="1">
      <c r="A301" s="1700"/>
      <c r="B301" s="1700"/>
      <c r="C301" s="307" t="s">
        <v>1237</v>
      </c>
      <c r="D301" s="5627"/>
      <c r="E301" s="5426"/>
      <c r="F301" s="5566"/>
      <c r="G301" s="5602"/>
      <c r="H301" s="1421"/>
      <c r="I301" s="589" t="s">
        <v>1236</v>
      </c>
      <c r="J301" s="509"/>
      <c r="K301" s="1421"/>
      <c r="L301" s="152"/>
      <c r="M301" s="279"/>
      <c r="N301" s="272"/>
      <c r="O301" s="1545"/>
      <c r="P301" s="1545"/>
      <c r="AH301" s="1552">
        <v>0</v>
      </c>
    </row>
    <row r="302" spans="1:34" s="4267" customFormat="1" ht="0.75" hidden="1" customHeight="1">
      <c r="A302" s="1700"/>
      <c r="B302" s="1700"/>
      <c r="C302" s="307" t="s">
        <v>1246</v>
      </c>
      <c r="D302" s="5627"/>
      <c r="E302" s="5426"/>
      <c r="F302" s="5566"/>
      <c r="G302" s="338"/>
      <c r="H302" s="1421"/>
      <c r="I302" s="589"/>
      <c r="J302" s="509"/>
      <c r="K302" s="1421"/>
      <c r="L302" s="152"/>
      <c r="M302" s="279"/>
      <c r="N302" s="272"/>
      <c r="O302" s="1545"/>
      <c r="P302" s="1545"/>
      <c r="AH302" s="1552">
        <v>0</v>
      </c>
    </row>
    <row r="303" spans="1:34" s="4267" customFormat="1" ht="18.75" hidden="1" customHeight="1">
      <c r="A303" s="1700" t="s">
        <v>254</v>
      </c>
      <c r="B303" s="1700" t="s">
        <v>255</v>
      </c>
      <c r="C303" s="307"/>
      <c r="D303" s="5627"/>
      <c r="E303" s="5426"/>
      <c r="F303" s="5566" t="str">
        <f>INDEX(PT_DIFFERENTIATION_VTAR,MATCH(A303,PT_DIFFERENTIATION_VTAR_ID,0))</f>
        <v>Тариф на питьевую воду (питьевое водоснабжение)</v>
      </c>
      <c r="G303" s="5602" t="str">
        <f>INDEX(PT_DIFFERENTIATION_NTAR,MATCH(B303,PT_DIFFERENTIATION_NTAR_ID,0))</f>
        <v/>
      </c>
      <c r="H303" s="1780"/>
      <c r="I303" s="1659"/>
      <c r="J303" s="1693"/>
      <c r="K303" s="1698"/>
      <c r="L303" s="1780" t="s">
        <v>399</v>
      </c>
      <c r="M303" s="279"/>
      <c r="N303" s="272"/>
      <c r="O303" s="1545"/>
      <c r="P303" s="1545"/>
      <c r="AH303" s="1552">
        <v>0</v>
      </c>
    </row>
    <row r="304" spans="1:34" s="4267" customFormat="1" ht="18.75" hidden="1" customHeight="1">
      <c r="A304" s="1700"/>
      <c r="B304" s="1700"/>
      <c r="C304" s="307" t="s">
        <v>1237</v>
      </c>
      <c r="D304" s="5627"/>
      <c r="E304" s="5426"/>
      <c r="F304" s="5566"/>
      <c r="G304" s="5602"/>
      <c r="H304" s="1421"/>
      <c r="I304" s="589" t="s">
        <v>1236</v>
      </c>
      <c r="J304" s="509"/>
      <c r="K304" s="1421"/>
      <c r="L304" s="152"/>
      <c r="M304" s="279"/>
      <c r="N304" s="272"/>
      <c r="O304" s="1545"/>
      <c r="P304" s="1545"/>
      <c r="AH304" s="1552">
        <v>0</v>
      </c>
    </row>
    <row r="305" spans="1:34" s="4267" customFormat="1" ht="0.75" hidden="1" customHeight="1">
      <c r="A305" s="1700"/>
      <c r="B305" s="1700"/>
      <c r="C305" s="307" t="s">
        <v>1246</v>
      </c>
      <c r="D305" s="5627"/>
      <c r="E305" s="5426"/>
      <c r="F305" s="5566"/>
      <c r="G305" s="338"/>
      <c r="H305" s="1421"/>
      <c r="I305" s="589"/>
      <c r="J305" s="509"/>
      <c r="K305" s="1421"/>
      <c r="L305" s="152"/>
      <c r="M305" s="279"/>
      <c r="N305" s="272"/>
      <c r="O305" s="1545"/>
      <c r="P305" s="1545"/>
      <c r="AH305" s="1552">
        <v>0</v>
      </c>
    </row>
    <row r="306" spans="1:34" s="4267" customFormat="1" ht="18.75" hidden="1" customHeight="1">
      <c r="A306" s="1700" t="s">
        <v>259</v>
      </c>
      <c r="B306" s="1700" t="s">
        <v>260</v>
      </c>
      <c r="C306" s="307"/>
      <c r="D306" s="5627"/>
      <c r="E306" s="5426"/>
      <c r="F306" s="5566" t="str">
        <f>INDEX(PT_DIFFERENTIATION_VTAR,MATCH(A306,PT_DIFFERENTIATION_VTAR_ID,0))</f>
        <v>Тариф на техническую воду</v>
      </c>
      <c r="G306" s="5602" t="str">
        <f>INDEX(PT_DIFFERENTIATION_NTAR,MATCH(B306,PT_DIFFERENTIATION_NTAR_ID,0))</f>
        <v/>
      </c>
      <c r="H306" s="1780"/>
      <c r="I306" s="1659"/>
      <c r="J306" s="1693"/>
      <c r="K306" s="1698"/>
      <c r="L306" s="1780" t="s">
        <v>399</v>
      </c>
      <c r="M306" s="279"/>
      <c r="N306" s="272"/>
      <c r="O306" s="1545"/>
      <c r="P306" s="1545"/>
      <c r="AH306" s="1552">
        <v>0</v>
      </c>
    </row>
    <row r="307" spans="1:34" s="4267" customFormat="1" ht="18.75" hidden="1" customHeight="1">
      <c r="A307" s="1700"/>
      <c r="B307" s="1700"/>
      <c r="C307" s="307" t="s">
        <v>1237</v>
      </c>
      <c r="D307" s="5627"/>
      <c r="E307" s="5426"/>
      <c r="F307" s="5566"/>
      <c r="G307" s="5602"/>
      <c r="H307" s="1421"/>
      <c r="I307" s="589" t="s">
        <v>1236</v>
      </c>
      <c r="J307" s="509"/>
      <c r="K307" s="1421"/>
      <c r="L307" s="152"/>
      <c r="M307" s="279"/>
      <c r="N307" s="272"/>
      <c r="O307" s="1545"/>
      <c r="P307" s="1545"/>
      <c r="AH307" s="1552">
        <v>0</v>
      </c>
    </row>
    <row r="308" spans="1:34" s="4267" customFormat="1" ht="0.75" hidden="1" customHeight="1">
      <c r="A308" s="1700"/>
      <c r="B308" s="1700"/>
      <c r="C308" s="307" t="s">
        <v>1246</v>
      </c>
      <c r="D308" s="5627"/>
      <c r="E308" s="5426"/>
      <c r="F308" s="5566"/>
      <c r="G308" s="338"/>
      <c r="H308" s="1421"/>
      <c r="I308" s="589"/>
      <c r="J308" s="509"/>
      <c r="K308" s="1421"/>
      <c r="L308" s="152"/>
      <c r="M308" s="279"/>
      <c r="N308" s="272"/>
      <c r="O308" s="1545"/>
      <c r="P308" s="1545"/>
      <c r="AH308" s="1552">
        <v>0</v>
      </c>
    </row>
    <row r="309" spans="1:34" s="4267" customFormat="1" ht="18.75" hidden="1" customHeight="1">
      <c r="A309" s="1700" t="s">
        <v>264</v>
      </c>
      <c r="B309" s="1700" t="s">
        <v>265</v>
      </c>
      <c r="C309" s="307"/>
      <c r="D309" s="5627"/>
      <c r="E309" s="5426"/>
      <c r="F309" s="5566" t="str">
        <f>INDEX(PT_DIFFERENTIATION_VTAR,MATCH(A309,PT_DIFFERENTIATION_VTAR_ID,0))</f>
        <v>Тариф на транспортировку воды</v>
      </c>
      <c r="G309" s="5602" t="str">
        <f>INDEX(PT_DIFFERENTIATION_NTAR,MATCH(B309,PT_DIFFERENTIATION_NTAR_ID,0))</f>
        <v/>
      </c>
      <c r="H309" s="1780"/>
      <c r="I309" s="1659"/>
      <c r="J309" s="1693"/>
      <c r="K309" s="1698"/>
      <c r="L309" s="1780" t="s">
        <v>399</v>
      </c>
      <c r="M309" s="279"/>
      <c r="N309" s="272"/>
      <c r="O309" s="1545"/>
      <c r="P309" s="1545"/>
      <c r="AH309" s="1552">
        <v>0</v>
      </c>
    </row>
    <row r="310" spans="1:34" s="4267" customFormat="1" ht="18.75" hidden="1" customHeight="1">
      <c r="A310" s="1700"/>
      <c r="B310" s="1700"/>
      <c r="C310" s="307" t="s">
        <v>1237</v>
      </c>
      <c r="D310" s="5627"/>
      <c r="E310" s="5426"/>
      <c r="F310" s="5566"/>
      <c r="G310" s="5602"/>
      <c r="H310" s="1421"/>
      <c r="I310" s="589" t="s">
        <v>1236</v>
      </c>
      <c r="J310" s="509"/>
      <c r="K310" s="1421"/>
      <c r="L310" s="152"/>
      <c r="M310" s="279"/>
      <c r="N310" s="272"/>
      <c r="O310" s="1545"/>
      <c r="P310" s="1545"/>
      <c r="AH310" s="1552">
        <v>0</v>
      </c>
    </row>
    <row r="311" spans="1:34" s="4267" customFormat="1" ht="0.75" hidden="1" customHeight="1">
      <c r="A311" s="1700"/>
      <c r="B311" s="1700"/>
      <c r="C311" s="307" t="s">
        <v>1246</v>
      </c>
      <c r="D311" s="5627"/>
      <c r="E311" s="5426"/>
      <c r="F311" s="5566"/>
      <c r="G311" s="338"/>
      <c r="H311" s="1421"/>
      <c r="I311" s="589"/>
      <c r="J311" s="509"/>
      <c r="K311" s="1421"/>
      <c r="L311" s="152"/>
      <c r="M311" s="279"/>
      <c r="N311" s="272"/>
      <c r="O311" s="1545"/>
      <c r="P311" s="1545"/>
      <c r="AH311" s="1552">
        <v>0</v>
      </c>
    </row>
    <row r="312" spans="1:34" s="4267" customFormat="1" ht="18.75" hidden="1" customHeight="1">
      <c r="A312" s="1700" t="s">
        <v>269</v>
      </c>
      <c r="B312" s="1700" t="s">
        <v>270</v>
      </c>
      <c r="C312" s="307"/>
      <c r="D312" s="5627"/>
      <c r="E312" s="5426"/>
      <c r="F312" s="5566" t="str">
        <f>INDEX(PT_DIFFERENTIATION_VTAR,MATCH(A312,PT_DIFFERENTIATION_VTAR_ID,0))</f>
        <v>Тариф на подвоз воды</v>
      </c>
      <c r="G312" s="5602" t="str">
        <f>INDEX(PT_DIFFERENTIATION_NTAR,MATCH(B312,PT_DIFFERENTIATION_NTAR_ID,0))</f>
        <v/>
      </c>
      <c r="H312" s="1780"/>
      <c r="I312" s="1659"/>
      <c r="J312" s="1693"/>
      <c r="K312" s="1698"/>
      <c r="L312" s="1780" t="s">
        <v>399</v>
      </c>
      <c r="M312" s="279"/>
      <c r="N312" s="272"/>
      <c r="O312" s="1545"/>
      <c r="P312" s="1545"/>
      <c r="AH312" s="1552">
        <v>0</v>
      </c>
    </row>
    <row r="313" spans="1:34" s="4267" customFormat="1" ht="18.75" hidden="1" customHeight="1">
      <c r="A313" s="1700"/>
      <c r="B313" s="1700"/>
      <c r="C313" s="307" t="s">
        <v>1237</v>
      </c>
      <c r="D313" s="5627"/>
      <c r="E313" s="5426"/>
      <c r="F313" s="5566"/>
      <c r="G313" s="5602"/>
      <c r="H313" s="1421"/>
      <c r="I313" s="589" t="s">
        <v>1236</v>
      </c>
      <c r="J313" s="509"/>
      <c r="K313" s="1421"/>
      <c r="L313" s="152"/>
      <c r="M313" s="279"/>
      <c r="N313" s="272"/>
      <c r="O313" s="1545"/>
      <c r="P313" s="1545"/>
      <c r="AH313" s="1552">
        <v>0</v>
      </c>
    </row>
    <row r="314" spans="1:34" s="4267" customFormat="1" ht="0.75" hidden="1" customHeight="1">
      <c r="A314" s="1700"/>
      <c r="B314" s="1700"/>
      <c r="C314" s="307" t="s">
        <v>1246</v>
      </c>
      <c r="D314" s="5627"/>
      <c r="E314" s="5426"/>
      <c r="F314" s="5566"/>
      <c r="G314" s="338"/>
      <c r="H314" s="1421"/>
      <c r="I314" s="589"/>
      <c r="J314" s="509"/>
      <c r="K314" s="1421"/>
      <c r="L314" s="152"/>
      <c r="M314" s="279"/>
      <c r="N314" s="272"/>
      <c r="O314" s="1545"/>
      <c r="P314" s="1545"/>
      <c r="AH314" s="1552">
        <v>0</v>
      </c>
    </row>
    <row r="315" spans="1:34" s="4267" customFormat="1" ht="18.75" hidden="1" customHeight="1">
      <c r="A315" s="1700" t="s">
        <v>274</v>
      </c>
      <c r="B315" s="1700" t="s">
        <v>275</v>
      </c>
      <c r="C315" s="307"/>
      <c r="D315" s="5627"/>
      <c r="E315" s="5426"/>
      <c r="F315" s="5566" t="str">
        <f>INDEX(PT_DIFFERENTIATION_VTAR,MATCH(A315,PT_DIFFERENTIATION_VTAR_ID,0))</f>
        <v>Тариф на подключение (технологическое присоединение) к централизованной системе холодного водоснабжения</v>
      </c>
      <c r="G315" s="5602" t="str">
        <f>INDEX(PT_DIFFERENTIATION_NTAR,MATCH(B315,PT_DIFFERENTIATION_NTAR_ID,0))</f>
        <v/>
      </c>
      <c r="H315" s="1780"/>
      <c r="I315" s="1659"/>
      <c r="J315" s="1693"/>
      <c r="K315" s="1698"/>
      <c r="L315" s="1780" t="s">
        <v>399</v>
      </c>
      <c r="M315" s="279"/>
      <c r="N315" s="272"/>
      <c r="O315" s="1545"/>
      <c r="P315" s="1545"/>
      <c r="AH315" s="1552">
        <v>0</v>
      </c>
    </row>
    <row r="316" spans="1:34" s="4267" customFormat="1" ht="18.75" hidden="1" customHeight="1">
      <c r="A316" s="1700"/>
      <c r="B316" s="1700"/>
      <c r="C316" s="307" t="s">
        <v>1237</v>
      </c>
      <c r="D316" s="5627"/>
      <c r="E316" s="5426"/>
      <c r="F316" s="5566"/>
      <c r="G316" s="5602"/>
      <c r="H316" s="1421"/>
      <c r="I316" s="589" t="s">
        <v>1236</v>
      </c>
      <c r="J316" s="509"/>
      <c r="K316" s="1421"/>
      <c r="L316" s="152"/>
      <c r="M316" s="279"/>
      <c r="N316" s="272"/>
      <c r="O316" s="1545"/>
      <c r="P316" s="1545"/>
      <c r="AH316" s="1552">
        <v>0</v>
      </c>
    </row>
    <row r="317" spans="1:34" s="4267" customFormat="1" ht="0.75" hidden="1" customHeight="1">
      <c r="A317" s="1700"/>
      <c r="B317" s="1700"/>
      <c r="C317" s="307" t="s">
        <v>1246</v>
      </c>
      <c r="D317" s="5627"/>
      <c r="E317" s="5426"/>
      <c r="F317" s="5566"/>
      <c r="G317" s="338"/>
      <c r="H317" s="1421"/>
      <c r="I317" s="589"/>
      <c r="J317" s="509"/>
      <c r="K317" s="1421"/>
      <c r="L317" s="152"/>
      <c r="M317" s="279"/>
      <c r="N317" s="272"/>
      <c r="O317" s="1545"/>
      <c r="P317" s="1545"/>
      <c r="AH317" s="1552">
        <v>0</v>
      </c>
    </row>
    <row r="318" spans="1:34" s="4267" customFormat="1" ht="18.75" hidden="1" customHeight="1">
      <c r="A318" s="1700" t="s">
        <v>279</v>
      </c>
      <c r="B318" s="1700" t="s">
        <v>280</v>
      </c>
      <c r="C318" s="307"/>
      <c r="D318" s="5627"/>
      <c r="E318" s="5426"/>
      <c r="F318" s="5566" t="str">
        <f>INDEX(PT_DIFFERENTIATION_VTAR,MATCH(A318,PT_DIFFERENTIATION_VTAR_ID,0))</f>
        <v>Тариф на горячую воду (горячее водоснабжение)</v>
      </c>
      <c r="G318" s="5602" t="str">
        <f>INDEX(PT_DIFFERENTIATION_NTAR,MATCH(B318,PT_DIFFERENTIATION_NTAR_ID,0))</f>
        <v/>
      </c>
      <c r="H318" s="1780"/>
      <c r="I318" s="1659"/>
      <c r="J318" s="1693"/>
      <c r="K318" s="1698"/>
      <c r="L318" s="1780" t="s">
        <v>399</v>
      </c>
      <c r="M318" s="279"/>
      <c r="N318" s="272"/>
      <c r="O318" s="1545"/>
      <c r="P318" s="1545"/>
      <c r="AH318" s="1552">
        <v>0</v>
      </c>
    </row>
    <row r="319" spans="1:34" s="4267" customFormat="1" ht="18.75" hidden="1" customHeight="1">
      <c r="A319" s="1700"/>
      <c r="B319" s="1700"/>
      <c r="C319" s="307" t="s">
        <v>1237</v>
      </c>
      <c r="D319" s="5627"/>
      <c r="E319" s="5426"/>
      <c r="F319" s="5566"/>
      <c r="G319" s="5602"/>
      <c r="H319" s="1421"/>
      <c r="I319" s="589" t="s">
        <v>1236</v>
      </c>
      <c r="J319" s="509"/>
      <c r="K319" s="1421"/>
      <c r="L319" s="152"/>
      <c r="M319" s="279"/>
      <c r="N319" s="272"/>
      <c r="O319" s="1545"/>
      <c r="P319" s="1545"/>
      <c r="AH319" s="1552">
        <v>0</v>
      </c>
    </row>
    <row r="320" spans="1:34" s="4267" customFormat="1" ht="0.75" hidden="1" customHeight="1">
      <c r="A320" s="1700"/>
      <c r="B320" s="1700"/>
      <c r="C320" s="307" t="s">
        <v>1246</v>
      </c>
      <c r="D320" s="5627"/>
      <c r="E320" s="5426"/>
      <c r="F320" s="5566"/>
      <c r="G320" s="338"/>
      <c r="H320" s="1421"/>
      <c r="I320" s="589"/>
      <c r="J320" s="509"/>
      <c r="K320" s="1421"/>
      <c r="L320" s="152"/>
      <c r="M320" s="279"/>
      <c r="N320" s="272"/>
      <c r="O320" s="1545"/>
      <c r="P320" s="1545"/>
      <c r="AH320" s="1552">
        <v>0</v>
      </c>
    </row>
    <row r="321" spans="1:34" s="4267" customFormat="1" ht="18.75" hidden="1" customHeight="1">
      <c r="A321" s="1700" t="s">
        <v>284</v>
      </c>
      <c r="B321" s="1700" t="s">
        <v>285</v>
      </c>
      <c r="C321" s="307"/>
      <c r="D321" s="5627"/>
      <c r="E321" s="5426"/>
      <c r="F321" s="5566" t="str">
        <f>INDEX(PT_DIFFERENTIATION_VTAR,MATCH(A321,PT_DIFFERENTIATION_VTAR_ID,0))</f>
        <v>Тариф на транспортировку горячей воды</v>
      </c>
      <c r="G321" s="5602" t="str">
        <f>INDEX(PT_DIFFERENTIATION_NTAR,MATCH(B321,PT_DIFFERENTIATION_NTAR_ID,0))</f>
        <v/>
      </c>
      <c r="H321" s="1780"/>
      <c r="I321" s="1659"/>
      <c r="J321" s="1693"/>
      <c r="K321" s="1698"/>
      <c r="L321" s="1780" t="s">
        <v>399</v>
      </c>
      <c r="M321" s="279"/>
      <c r="N321" s="272"/>
      <c r="O321" s="1545"/>
      <c r="P321" s="1545"/>
      <c r="AH321" s="1552">
        <v>0</v>
      </c>
    </row>
    <row r="322" spans="1:34" s="4267" customFormat="1" ht="18.75" hidden="1" customHeight="1">
      <c r="A322" s="1700"/>
      <c r="B322" s="1700"/>
      <c r="C322" s="307" t="s">
        <v>1237</v>
      </c>
      <c r="D322" s="5627"/>
      <c r="E322" s="5426"/>
      <c r="F322" s="5566"/>
      <c r="G322" s="5602"/>
      <c r="H322" s="1421"/>
      <c r="I322" s="589" t="s">
        <v>1236</v>
      </c>
      <c r="J322" s="509"/>
      <c r="K322" s="1421"/>
      <c r="L322" s="152"/>
      <c r="M322" s="279"/>
      <c r="N322" s="272"/>
      <c r="O322" s="1545"/>
      <c r="P322" s="1545"/>
      <c r="AH322" s="1552">
        <v>0</v>
      </c>
    </row>
    <row r="323" spans="1:34" s="4267" customFormat="1" ht="0.75" hidden="1" customHeight="1">
      <c r="A323" s="1700"/>
      <c r="B323" s="1700"/>
      <c r="C323" s="307" t="s">
        <v>1246</v>
      </c>
      <c r="D323" s="5627"/>
      <c r="E323" s="5426"/>
      <c r="F323" s="5566"/>
      <c r="G323" s="338"/>
      <c r="H323" s="1421"/>
      <c r="I323" s="589"/>
      <c r="J323" s="509"/>
      <c r="K323" s="1421"/>
      <c r="L323" s="152"/>
      <c r="M323" s="279"/>
      <c r="N323" s="272"/>
      <c r="O323" s="1545"/>
      <c r="P323" s="1545"/>
      <c r="AH323" s="1552">
        <v>0</v>
      </c>
    </row>
    <row r="324" spans="1:34" s="4267" customFormat="1" ht="18.75" hidden="1" customHeight="1">
      <c r="A324" s="1700" t="s">
        <v>289</v>
      </c>
      <c r="B324" s="1700" t="s">
        <v>290</v>
      </c>
      <c r="C324" s="307"/>
      <c r="D324" s="5627"/>
      <c r="E324" s="5426"/>
      <c r="F324" s="5566" t="str">
        <f>INDEX(PT_DIFFERENTIATION_VTAR,MATCH(A324,PT_DIFFERENTIATION_VTAR_ID,0))</f>
        <v>Тариф на подключение (технологическое присоединение) к централизованной системе горячего водоснабжения</v>
      </c>
      <c r="G324" s="5602" t="str">
        <f>INDEX(PT_DIFFERENTIATION_NTAR,MATCH(B324,PT_DIFFERENTIATION_NTAR_ID,0))</f>
        <v/>
      </c>
      <c r="H324" s="1780"/>
      <c r="I324" s="1659"/>
      <c r="J324" s="1693"/>
      <c r="K324" s="1698"/>
      <c r="L324" s="1780" t="s">
        <v>399</v>
      </c>
      <c r="M324" s="279"/>
      <c r="N324" s="272"/>
      <c r="O324" s="1545"/>
      <c r="P324" s="1545"/>
      <c r="AH324" s="1552">
        <v>0</v>
      </c>
    </row>
    <row r="325" spans="1:34" s="4267" customFormat="1" ht="18.75" hidden="1" customHeight="1">
      <c r="A325" s="1700"/>
      <c r="B325" s="1700"/>
      <c r="C325" s="307" t="s">
        <v>1237</v>
      </c>
      <c r="D325" s="5627"/>
      <c r="E325" s="5426"/>
      <c r="F325" s="5566"/>
      <c r="G325" s="5602"/>
      <c r="H325" s="1421"/>
      <c r="I325" s="589" t="s">
        <v>1236</v>
      </c>
      <c r="J325" s="509"/>
      <c r="K325" s="1421"/>
      <c r="L325" s="152"/>
      <c r="M325" s="279"/>
      <c r="N325" s="272"/>
      <c r="O325" s="1545"/>
      <c r="P325" s="1545"/>
      <c r="AH325" s="1552">
        <v>0</v>
      </c>
    </row>
    <row r="326" spans="1:34" s="4267" customFormat="1" ht="0.75" hidden="1" customHeight="1">
      <c r="A326" s="1700"/>
      <c r="B326" s="1700"/>
      <c r="C326" s="307" t="s">
        <v>1246</v>
      </c>
      <c r="D326" s="5627"/>
      <c r="E326" s="5426"/>
      <c r="F326" s="5566"/>
      <c r="G326" s="338"/>
      <c r="H326" s="1421"/>
      <c r="I326" s="589"/>
      <c r="J326" s="509"/>
      <c r="K326" s="1421"/>
      <c r="L326" s="152"/>
      <c r="M326" s="279"/>
      <c r="N326" s="272"/>
      <c r="O326" s="1545"/>
      <c r="P326" s="1545"/>
      <c r="AH326" s="1552">
        <v>0</v>
      </c>
    </row>
    <row r="327" spans="1:34" s="4267" customFormat="1" ht="18.75" customHeight="1">
      <c r="A327" s="1700" t="s">
        <v>296</v>
      </c>
      <c r="B327" s="1700" t="s">
        <v>297</v>
      </c>
      <c r="C327" s="307"/>
      <c r="D327" s="5627"/>
      <c r="E327" s="5426"/>
      <c r="F327" s="5566" t="str">
        <f>INDEX(PT_DIFFERENTIATION_VTAR,MATCH(A327,PT_DIFFERENTIATION_VTAR_ID,0))</f>
        <v>Тариф на водоотведение</v>
      </c>
      <c r="G327" s="5602" t="str">
        <f>INDEX(PT_DIFFERENTIATION_NTAR,MATCH(B327,PT_DIFFERENTIATION_NTAR_ID,0))</f>
        <v>Тариф на водоотведение</v>
      </c>
      <c r="H327" s="1780"/>
      <c r="I327" s="4254">
        <v>45658.695613425924</v>
      </c>
      <c r="J327" s="4255">
        <v>47118.695798611108</v>
      </c>
      <c r="K327" s="1698">
        <v>0</v>
      </c>
      <c r="L327" s="1780" t="s">
        <v>399</v>
      </c>
      <c r="M327" s="279"/>
      <c r="N327" s="272"/>
      <c r="O327" s="1545"/>
      <c r="P327" s="1545"/>
      <c r="AH327" s="1552">
        <v>0</v>
      </c>
    </row>
    <row r="328" spans="1:34" s="4267" customFormat="1" ht="18.75" customHeight="1">
      <c r="A328" s="1700"/>
      <c r="B328" s="1700"/>
      <c r="C328" s="307" t="s">
        <v>1237</v>
      </c>
      <c r="D328" s="5627"/>
      <c r="E328" s="5426"/>
      <c r="F328" s="5566"/>
      <c r="G328" s="5602"/>
      <c r="H328" s="1421"/>
      <c r="I328" s="589" t="s">
        <v>1236</v>
      </c>
      <c r="J328" s="509"/>
      <c r="K328" s="1421"/>
      <c r="L328" s="152"/>
      <c r="M328" s="279"/>
      <c r="N328" s="272"/>
      <c r="O328" s="1545"/>
      <c r="P328" s="1545"/>
      <c r="AH328" s="1552">
        <v>0</v>
      </c>
    </row>
    <row r="329" spans="1:34" s="4267" customFormat="1" ht="0.75" customHeight="1">
      <c r="A329" s="1700"/>
      <c r="B329" s="1700"/>
      <c r="C329" s="307" t="s">
        <v>1246</v>
      </c>
      <c r="D329" s="5627"/>
      <c r="E329" s="5426"/>
      <c r="F329" s="5566"/>
      <c r="G329" s="338"/>
      <c r="H329" s="1421"/>
      <c r="I329" s="589"/>
      <c r="J329" s="509"/>
      <c r="K329" s="1421"/>
      <c r="L329" s="152"/>
      <c r="M329" s="279"/>
      <c r="N329" s="272"/>
      <c r="O329" s="1545"/>
      <c r="P329" s="1545"/>
      <c r="AH329" s="1552">
        <v>0</v>
      </c>
    </row>
    <row r="330" spans="1:34" s="4267" customFormat="1" ht="18.75" hidden="1" customHeight="1">
      <c r="A330" s="1700" t="s">
        <v>363</v>
      </c>
      <c r="B330" s="1700" t="s">
        <v>364</v>
      </c>
      <c r="C330" s="307"/>
      <c r="D330" s="5627"/>
      <c r="E330" s="5426"/>
      <c r="F330" s="5566" t="str">
        <f>INDEX(PT_DIFFERENTIATION_VTAR,MATCH(A330,PT_DIFFERENTIATION_VTAR_ID,0))</f>
        <v>Тариф на транспортировку сточных вод</v>
      </c>
      <c r="G330" s="5602" t="str">
        <f>INDEX(PT_DIFFERENTIATION_NTAR,MATCH(B330,PT_DIFFERENTIATION_NTAR_ID,0))</f>
        <v/>
      </c>
      <c r="H330" s="1780"/>
      <c r="I330" s="1659"/>
      <c r="J330" s="1693"/>
      <c r="K330" s="1698"/>
      <c r="L330" s="1780" t="s">
        <v>399</v>
      </c>
      <c r="M330" s="279"/>
      <c r="N330" s="272"/>
      <c r="O330" s="1545"/>
      <c r="P330" s="1545"/>
      <c r="AH330" s="1552">
        <v>0</v>
      </c>
    </row>
    <row r="331" spans="1:34" s="4267" customFormat="1" ht="18.75" hidden="1" customHeight="1">
      <c r="A331" s="1700"/>
      <c r="B331" s="1700"/>
      <c r="C331" s="307" t="s">
        <v>1237</v>
      </c>
      <c r="D331" s="5627"/>
      <c r="E331" s="5426"/>
      <c r="F331" s="5566"/>
      <c r="G331" s="5602"/>
      <c r="H331" s="1421"/>
      <c r="I331" s="589" t="s">
        <v>1236</v>
      </c>
      <c r="J331" s="509"/>
      <c r="K331" s="1421"/>
      <c r="L331" s="152"/>
      <c r="M331" s="279"/>
      <c r="N331" s="272"/>
      <c r="O331" s="1545"/>
      <c r="P331" s="1545"/>
      <c r="AH331" s="1552">
        <v>0</v>
      </c>
    </row>
    <row r="332" spans="1:34" s="4267" customFormat="1" ht="0.75" hidden="1" customHeight="1">
      <c r="A332" s="1700"/>
      <c r="B332" s="1700"/>
      <c r="C332" s="307" t="s">
        <v>1246</v>
      </c>
      <c r="D332" s="5627"/>
      <c r="E332" s="5426"/>
      <c r="F332" s="5566"/>
      <c r="G332" s="338"/>
      <c r="H332" s="1421"/>
      <c r="I332" s="589"/>
      <c r="J332" s="509"/>
      <c r="K332" s="1421"/>
      <c r="L332" s="152"/>
      <c r="M332" s="279"/>
      <c r="N332" s="272"/>
      <c r="O332" s="1545"/>
      <c r="P332" s="1545"/>
      <c r="AH332" s="1552">
        <v>0</v>
      </c>
    </row>
    <row r="333" spans="1:34" s="4267" customFormat="1" ht="18.75" hidden="1" customHeight="1">
      <c r="A333" s="1700" t="s">
        <v>368</v>
      </c>
      <c r="B333" s="1700" t="s">
        <v>369</v>
      </c>
      <c r="C333" s="307"/>
      <c r="D333" s="5627"/>
      <c r="E333" s="5426"/>
      <c r="F333" s="5566" t="str">
        <f>INDEX(PT_DIFFERENTIATION_VTAR,MATCH(A333,PT_DIFFERENTIATION_VTAR_ID,0))</f>
        <v>Тариф на подключение (технологическое присоединение) к централизованной системе водоотведения</v>
      </c>
      <c r="G333" s="5602" t="str">
        <f>INDEX(PT_DIFFERENTIATION_NTAR,MATCH(B333,PT_DIFFERENTIATION_NTAR_ID,0))</f>
        <v/>
      </c>
      <c r="H333" s="1780"/>
      <c r="I333" s="1659"/>
      <c r="J333" s="1693"/>
      <c r="K333" s="1698"/>
      <c r="L333" s="1780" t="s">
        <v>399</v>
      </c>
      <c r="M333" s="279"/>
      <c r="N333" s="272"/>
      <c r="O333" s="1545"/>
      <c r="P333" s="1545"/>
      <c r="AH333" s="1552">
        <v>0</v>
      </c>
    </row>
    <row r="334" spans="1:34" s="4267" customFormat="1" ht="18.75" hidden="1" customHeight="1">
      <c r="A334" s="1700"/>
      <c r="B334" s="1700"/>
      <c r="C334" s="307" t="s">
        <v>1237</v>
      </c>
      <c r="D334" s="5627"/>
      <c r="E334" s="5426"/>
      <c r="F334" s="5566"/>
      <c r="G334" s="5602"/>
      <c r="H334" s="1421"/>
      <c r="I334" s="589" t="s">
        <v>1236</v>
      </c>
      <c r="J334" s="509"/>
      <c r="K334" s="1421"/>
      <c r="L334" s="152"/>
      <c r="M334" s="279"/>
      <c r="N334" s="272"/>
      <c r="O334" s="1545"/>
      <c r="P334" s="1545"/>
      <c r="AH334" s="1552">
        <v>0</v>
      </c>
    </row>
    <row r="335" spans="1:34" s="4267" customFormat="1" ht="1.1499999999999999" customHeight="1">
      <c r="A335" s="1700"/>
      <c r="B335" s="1700"/>
      <c r="C335" s="307" t="s">
        <v>1246</v>
      </c>
      <c r="D335" s="5627"/>
      <c r="E335" s="5426"/>
      <c r="F335" s="5566"/>
      <c r="G335" s="338"/>
      <c r="H335" s="1421"/>
      <c r="I335" s="589"/>
      <c r="J335" s="509"/>
      <c r="K335" s="1421"/>
      <c r="L335" s="152"/>
      <c r="M335" s="279"/>
      <c r="N335" s="272"/>
      <c r="O335" s="1545"/>
      <c r="P335" s="1545"/>
      <c r="AH335" s="1552">
        <v>1</v>
      </c>
    </row>
    <row r="336" spans="1:34" s="5268" customFormat="1" ht="3" customHeight="1">
      <c r="A336" s="1700"/>
      <c r="B336" s="1700"/>
      <c r="C336" s="1701"/>
      <c r="E336" s="340"/>
      <c r="F336" s="340"/>
      <c r="G336" s="340"/>
      <c r="H336" s="340"/>
      <c r="I336" s="340"/>
      <c r="J336" s="340"/>
      <c r="K336" s="340"/>
      <c r="L336" s="340"/>
      <c r="M336" s="340"/>
      <c r="O336" s="134"/>
      <c r="P336" s="134"/>
      <c r="AH336" s="80">
        <v>3</v>
      </c>
    </row>
    <row r="337" spans="1:34" ht="26.25" customHeight="1">
      <c r="E337" s="140"/>
      <c r="F337" s="5468"/>
      <c r="G337" s="5468"/>
      <c r="H337" s="5468"/>
      <c r="I337" s="5468"/>
      <c r="J337" s="5468"/>
      <c r="K337" s="5468"/>
      <c r="L337" s="5468"/>
      <c r="M337" s="5468"/>
      <c r="AH337" s="312">
        <v>25</v>
      </c>
    </row>
    <row r="338" spans="1:34" ht="14.25" hidden="1" customHeight="1">
      <c r="A338" s="1699" t="s">
        <v>82</v>
      </c>
      <c r="B338" s="1699">
        <v>0</v>
      </c>
      <c r="C338" s="307">
        <v>0</v>
      </c>
      <c r="D338" s="282">
        <v>3</v>
      </c>
      <c r="E338" s="312">
        <v>6</v>
      </c>
      <c r="F338" s="312">
        <v>46</v>
      </c>
      <c r="G338" s="312">
        <v>35</v>
      </c>
      <c r="H338" s="312">
        <v>3</v>
      </c>
      <c r="I338" s="312">
        <v>11</v>
      </c>
      <c r="J338" s="312">
        <v>11</v>
      </c>
      <c r="K338" s="312">
        <v>35</v>
      </c>
      <c r="L338" s="312">
        <v>35</v>
      </c>
      <c r="M338" s="312">
        <v>84</v>
      </c>
      <c r="N338" s="312">
        <v>10</v>
      </c>
      <c r="O338" s="288">
        <v>10</v>
      </c>
      <c r="P338" s="288">
        <v>10</v>
      </c>
      <c r="Q338" s="312">
        <v>10</v>
      </c>
      <c r="R338" s="312">
        <v>10</v>
      </c>
      <c r="S338" s="312">
        <v>10</v>
      </c>
      <c r="T338" s="312">
        <v>10</v>
      </c>
      <c r="U338" s="312">
        <v>10</v>
      </c>
      <c r="V338" s="312">
        <v>10</v>
      </c>
      <c r="W338" s="312">
        <v>10</v>
      </c>
      <c r="X338" s="312">
        <v>10</v>
      </c>
      <c r="Y338" s="312">
        <v>10</v>
      </c>
      <c r="Z338" s="312">
        <v>10</v>
      </c>
      <c r="AA338" s="312">
        <v>10</v>
      </c>
      <c r="AB338" s="312">
        <v>10</v>
      </c>
      <c r="AC338" s="312">
        <v>10</v>
      </c>
      <c r="AD338" s="312">
        <v>10</v>
      </c>
      <c r="AE338" s="312">
        <v>10</v>
      </c>
      <c r="AF338" s="312">
        <v>10</v>
      </c>
      <c r="AG338" s="312">
        <v>10</v>
      </c>
      <c r="AH338" s="312">
        <v>14</v>
      </c>
    </row>
  </sheetData>
  <sheetProtection formatColumns="0" formatRows="0" insertRows="0" deleteColumns="0" deleteRows="0" sort="0" autoFilter="0"/>
  <mergeCells count="428">
    <mergeCell ref="G105:G106"/>
    <mergeCell ref="G108:G109"/>
    <mergeCell ref="G114:G115"/>
    <mergeCell ref="G117:G118"/>
    <mergeCell ref="G236:G237"/>
    <mergeCell ref="G242:G243"/>
    <mergeCell ref="G245:G246"/>
    <mergeCell ref="G248:G249"/>
    <mergeCell ref="G202:G206"/>
    <mergeCell ref="G211:G212"/>
    <mergeCell ref="G215:G216"/>
    <mergeCell ref="G218:G219"/>
    <mergeCell ref="G221:G222"/>
    <mergeCell ref="G169:G170"/>
    <mergeCell ref="G172:G173"/>
    <mergeCell ref="G178:G179"/>
    <mergeCell ref="G224:G225"/>
    <mergeCell ref="G227:G228"/>
    <mergeCell ref="G230:G231"/>
    <mergeCell ref="G184:G185"/>
    <mergeCell ref="G187:G188"/>
    <mergeCell ref="G190:G191"/>
    <mergeCell ref="G193:G194"/>
    <mergeCell ref="G166:G167"/>
    <mergeCell ref="G321:G322"/>
    <mergeCell ref="G324:G325"/>
    <mergeCell ref="G327:G328"/>
    <mergeCell ref="G330:G331"/>
    <mergeCell ref="G312:G313"/>
    <mergeCell ref="G315:G316"/>
    <mergeCell ref="G318:G319"/>
    <mergeCell ref="G306:G307"/>
    <mergeCell ref="G263:G264"/>
    <mergeCell ref="G266:G267"/>
    <mergeCell ref="G269:G270"/>
    <mergeCell ref="G272:G273"/>
    <mergeCell ref="G276:G277"/>
    <mergeCell ref="G282:G283"/>
    <mergeCell ref="G285:G286"/>
    <mergeCell ref="G288:G289"/>
    <mergeCell ref="G291:G292"/>
    <mergeCell ref="G294:G295"/>
    <mergeCell ref="G297:G298"/>
    <mergeCell ref="G303:G304"/>
    <mergeCell ref="G300:G301"/>
    <mergeCell ref="G60:G61"/>
    <mergeCell ref="G63:G64"/>
    <mergeCell ref="G66:G67"/>
    <mergeCell ref="G69:G70"/>
    <mergeCell ref="G72:G73"/>
    <mergeCell ref="G75:G76"/>
    <mergeCell ref="G78:G79"/>
    <mergeCell ref="G81:G82"/>
    <mergeCell ref="G87:G88"/>
    <mergeCell ref="F333:F335"/>
    <mergeCell ref="M276:M279"/>
    <mergeCell ref="D327:D329"/>
    <mergeCell ref="E327:E329"/>
    <mergeCell ref="F327:F329"/>
    <mergeCell ref="D330:D332"/>
    <mergeCell ref="E330:E332"/>
    <mergeCell ref="F330:F332"/>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G333:G334"/>
    <mergeCell ref="G279:G280"/>
    <mergeCell ref="F269:F271"/>
    <mergeCell ref="F285:F287"/>
    <mergeCell ref="D303:D305"/>
    <mergeCell ref="E303:E305"/>
    <mergeCell ref="F303:F305"/>
    <mergeCell ref="D306:D308"/>
    <mergeCell ref="E306:E308"/>
    <mergeCell ref="F306:F308"/>
    <mergeCell ref="D294:D296"/>
    <mergeCell ref="E294:E296"/>
    <mergeCell ref="F294:F296"/>
    <mergeCell ref="D297:D299"/>
    <mergeCell ref="E297:E299"/>
    <mergeCell ref="F297:F299"/>
    <mergeCell ref="D300:D302"/>
    <mergeCell ref="E300:E302"/>
    <mergeCell ref="F300:F302"/>
    <mergeCell ref="D254:D256"/>
    <mergeCell ref="E254:E256"/>
    <mergeCell ref="F254:F256"/>
    <mergeCell ref="G251:G252"/>
    <mergeCell ref="G254:G255"/>
    <mergeCell ref="G257:G258"/>
    <mergeCell ref="D272:D274"/>
    <mergeCell ref="E272:E274"/>
    <mergeCell ref="F272:F274"/>
    <mergeCell ref="D263:D265"/>
    <mergeCell ref="E263:E265"/>
    <mergeCell ref="F263:F265"/>
    <mergeCell ref="D266:D268"/>
    <mergeCell ref="E266:E268"/>
    <mergeCell ref="F266:F268"/>
    <mergeCell ref="D257:D259"/>
    <mergeCell ref="E257:E259"/>
    <mergeCell ref="F257:F259"/>
    <mergeCell ref="D260:D262"/>
    <mergeCell ref="E260:E262"/>
    <mergeCell ref="F260:F262"/>
    <mergeCell ref="G260:G261"/>
    <mergeCell ref="D269:D271"/>
    <mergeCell ref="E269:E271"/>
    <mergeCell ref="D236:D238"/>
    <mergeCell ref="E236:E238"/>
    <mergeCell ref="F236:F238"/>
    <mergeCell ref="D242:D244"/>
    <mergeCell ref="E242:E244"/>
    <mergeCell ref="F242:F244"/>
    <mergeCell ref="D239:D241"/>
    <mergeCell ref="E239:E241"/>
    <mergeCell ref="F239:F241"/>
    <mergeCell ref="D245:D247"/>
    <mergeCell ref="E245:E247"/>
    <mergeCell ref="F245:F247"/>
    <mergeCell ref="G239:G240"/>
    <mergeCell ref="D251:D253"/>
    <mergeCell ref="E251:E253"/>
    <mergeCell ref="F251:F253"/>
    <mergeCell ref="D248:D250"/>
    <mergeCell ref="E248:E250"/>
    <mergeCell ref="F248:F250"/>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6:D198"/>
    <mergeCell ref="E196:E198"/>
    <mergeCell ref="F196:F198"/>
    <mergeCell ref="D199:D201"/>
    <mergeCell ref="E199:E201"/>
    <mergeCell ref="F199:F201"/>
    <mergeCell ref="G196:G197"/>
    <mergeCell ref="G199:G200"/>
    <mergeCell ref="D221:D223"/>
    <mergeCell ref="E221:E223"/>
    <mergeCell ref="F221:F223"/>
    <mergeCell ref="D211:D213"/>
    <mergeCell ref="E211:E213"/>
    <mergeCell ref="F211:F213"/>
    <mergeCell ref="D215:D217"/>
    <mergeCell ref="E215:E217"/>
    <mergeCell ref="F215:F217"/>
    <mergeCell ref="D202:D207"/>
    <mergeCell ref="E202:E207"/>
    <mergeCell ref="F202:F207"/>
    <mergeCell ref="D208:D210"/>
    <mergeCell ref="E208:E210"/>
    <mergeCell ref="F208:F210"/>
    <mergeCell ref="G208:G209"/>
    <mergeCell ref="D178:D180"/>
    <mergeCell ref="E178:E180"/>
    <mergeCell ref="F178:F180"/>
    <mergeCell ref="D181:D183"/>
    <mergeCell ref="E181:E183"/>
    <mergeCell ref="F181:F183"/>
    <mergeCell ref="G181:G182"/>
    <mergeCell ref="D190:D192"/>
    <mergeCell ref="E190:E192"/>
    <mergeCell ref="F190:F192"/>
    <mergeCell ref="D193:D195"/>
    <mergeCell ref="E193:E195"/>
    <mergeCell ref="F193:F195"/>
    <mergeCell ref="D184:D186"/>
    <mergeCell ref="E184:E186"/>
    <mergeCell ref="F184:F186"/>
    <mergeCell ref="D187:D189"/>
    <mergeCell ref="E187:E189"/>
    <mergeCell ref="F187:F189"/>
    <mergeCell ref="F157:F159"/>
    <mergeCell ref="D160:D162"/>
    <mergeCell ref="E160:E162"/>
    <mergeCell ref="F160:F162"/>
    <mergeCell ref="D169:D171"/>
    <mergeCell ref="E169:E171"/>
    <mergeCell ref="F169:F171"/>
    <mergeCell ref="D172:D174"/>
    <mergeCell ref="E172:E174"/>
    <mergeCell ref="F172:F174"/>
    <mergeCell ref="G144:G145"/>
    <mergeCell ref="G147:G148"/>
    <mergeCell ref="G151:G152"/>
    <mergeCell ref="G154:G155"/>
    <mergeCell ref="D163:D165"/>
    <mergeCell ref="E163:E165"/>
    <mergeCell ref="F163:F165"/>
    <mergeCell ref="D166:D168"/>
    <mergeCell ref="E166:E168"/>
    <mergeCell ref="F166:F168"/>
    <mergeCell ref="D157:D159"/>
    <mergeCell ref="D154:D156"/>
    <mergeCell ref="E154:E156"/>
    <mergeCell ref="F154:F156"/>
    <mergeCell ref="D144:D146"/>
    <mergeCell ref="E144:E146"/>
    <mergeCell ref="F144:F146"/>
    <mergeCell ref="D147:D149"/>
    <mergeCell ref="E147:E149"/>
    <mergeCell ref="F147:F149"/>
    <mergeCell ref="D151:D153"/>
    <mergeCell ref="E151:E153"/>
    <mergeCell ref="F151:F153"/>
    <mergeCell ref="E157:E159"/>
    <mergeCell ref="D135:D137"/>
    <mergeCell ref="E135:E137"/>
    <mergeCell ref="F135:F137"/>
    <mergeCell ref="D138:D143"/>
    <mergeCell ref="E138:E143"/>
    <mergeCell ref="F138:F143"/>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5:M218"/>
    <mergeCell ref="M87:M90"/>
    <mergeCell ref="F150:L150"/>
    <mergeCell ref="M151:M154"/>
    <mergeCell ref="F214:L214"/>
    <mergeCell ref="F51:F53"/>
    <mergeCell ref="F54:F56"/>
    <mergeCell ref="F75:F77"/>
    <mergeCell ref="F78:F80"/>
    <mergeCell ref="F90:F92"/>
    <mergeCell ref="F93:F95"/>
    <mergeCell ref="M24:M83"/>
    <mergeCell ref="G42:G43"/>
    <mergeCell ref="G129:G130"/>
    <mergeCell ref="G132:G133"/>
    <mergeCell ref="G135:G136"/>
    <mergeCell ref="G138:G142"/>
    <mergeCell ref="G157:G158"/>
    <mergeCell ref="G90:G91"/>
    <mergeCell ref="G93:G94"/>
    <mergeCell ref="F337:M337"/>
    <mergeCell ref="F275:L275"/>
    <mergeCell ref="D276:D278"/>
    <mergeCell ref="E276:E278"/>
    <mergeCell ref="F276:F278"/>
    <mergeCell ref="D279:D281"/>
    <mergeCell ref="E279:E281"/>
    <mergeCell ref="F279:F281"/>
    <mergeCell ref="D282:D284"/>
    <mergeCell ref="D288:D290"/>
    <mergeCell ref="E288:E290"/>
    <mergeCell ref="F288:F290"/>
    <mergeCell ref="D291:D293"/>
    <mergeCell ref="E291:E293"/>
    <mergeCell ref="F291:F293"/>
    <mergeCell ref="E282:E284"/>
    <mergeCell ref="F282:F284"/>
    <mergeCell ref="D285:D287"/>
    <mergeCell ref="E285:E287"/>
    <mergeCell ref="F309:F311"/>
    <mergeCell ref="D312:D314"/>
    <mergeCell ref="E312:E314"/>
    <mergeCell ref="D333:D335"/>
    <mergeCell ref="E333:E335"/>
    <mergeCell ref="F312:F314"/>
    <mergeCell ref="G309:G31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5:D177"/>
    <mergeCell ref="E175:E177"/>
    <mergeCell ref="F175:F177"/>
    <mergeCell ref="G175:G176"/>
    <mergeCell ref="D69:D71"/>
    <mergeCell ref="E69:E71"/>
    <mergeCell ref="F69:F71"/>
    <mergeCell ref="D90:D92"/>
    <mergeCell ref="E90:E92"/>
    <mergeCell ref="D72:D74"/>
    <mergeCell ref="E72:E74"/>
    <mergeCell ref="F72:F74"/>
    <mergeCell ref="G160:G161"/>
    <mergeCell ref="G163:G164"/>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5:J215 I218:J218 I221:J221 I224:J224 I227:J227 I230:J230 I233:J233 I236:J236 I242:J242 I245:J245 I248:J248 I251:J251 I254:J254 I257:J257 I260:J260 I263:J263 I266:J266 I8:J8 I81:J81 I147:J147 I90:J90 I93:J93 I96:J96 I99:J99 I102:J102 I105:J105 I108:J108 I114:J114 I117:J117 I120:J120 I123:J123 I126:J126 I129:J129 I132:J132 I135:J135 I138:J141 I144:J144 I151:J151 I87:J87 I154:J154 I157:J157 I160:J160 I163:J163 I166:J166 I169:J169 I172:J172 I178:J178 I181:J181 I184:J184 I187:J187 I190:J190 I196:J196 I199:J199 I202:J205 I208:J208 I211:J211 I193:J193 I269:J269 I272:J272 I276:J276 I279:J279 I282:J282 I285:J285 I288:J288 I291:J291 I294:J294 I297:J297 I303:J303 I306:J306 I309:J309 I312:J312 I315:J315 I318:J318 I321:J321 I324:J324 I327:J327 I330:J330 I333:J333 I2:J2 I5:J5 I48:J48 I111:J111 I175:J175 I239:J239 I300:J3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1:M152 M215:M216 M23 M87:M88 M276:M277">
      <formula1>900</formula1>
    </dataValidation>
    <dataValidation type="decimal" allowBlank="1" showErrorMessage="1" errorTitle="Ошибка" error="Допускается ввод только действительных чисел!" sqref="K215 K218 K221 K224 K227 K230 K233 K236 K242 K245 K248 K251 K254 K257 K260 K263 K266 K269 K10 K87 K144 K138:K141 K135 K132 K129 K126 K123 K120 K117 K114 K108 K105 K102 K99 K96 K93 K90 K151 K147 K154 K157 K160 K163 K166 K169 K172 K178 K181 K184 K187 K190 K196 K199 K202:K205 K208 K211 K193 K272 K276 K279 K282 K285 K288 K291 K294 K297 K303 K306 K309 K312 K315 K318 K321 K324 K327 K330 K333 K5 K111 K175 K239 K300">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15" sqref="G15"/>
    </sheetView>
  </sheetViews>
  <sheetFormatPr defaultColWidth="10.5703125" defaultRowHeight="14.25" customHeight="1"/>
  <cols>
    <col min="1" max="1" width="9.140625" style="4302" hidden="1" customWidth="1"/>
    <col min="2" max="2" width="9.140625" style="4274" hidden="1" customWidth="1"/>
    <col min="3" max="3" width="3" style="4303" customWidth="1"/>
    <col min="4" max="4" width="6" style="4267" customWidth="1"/>
    <col min="5" max="5" width="53" style="4267" customWidth="1"/>
    <col min="6" max="7" width="35" style="4267" customWidth="1"/>
    <col min="8" max="8" width="89" style="4267" customWidth="1"/>
    <col min="9" max="9" width="10" style="4267" customWidth="1"/>
    <col min="10" max="11" width="10" style="4281" customWidth="1"/>
    <col min="12" max="17" width="10" style="4267" customWidth="1"/>
    <col min="18" max="18" width="10.5703125" style="4267" hidden="1"/>
  </cols>
  <sheetData>
    <row r="1" spans="1:18" ht="22.5" hidden="1" customHeight="1">
      <c r="N1" s="193"/>
      <c r="O1" s="193"/>
      <c r="Q1" s="193"/>
      <c r="R1" s="312" t="s">
        <v>14</v>
      </c>
    </row>
    <row r="2" spans="1:18" s="4267" customFormat="1" ht="18.75" hidden="1" customHeight="1">
      <c r="A2" s="43"/>
      <c r="B2" s="1081"/>
      <c r="C2" s="1650" t="s">
        <v>104</v>
      </c>
      <c r="D2" s="1594"/>
      <c r="E2" s="1603"/>
      <c r="F2" s="195"/>
      <c r="G2" s="1082"/>
      <c r="H2" s="312"/>
      <c r="I2" s="1545"/>
      <c r="J2" s="1545"/>
      <c r="R2" s="1552">
        <v>0</v>
      </c>
    </row>
    <row r="3" spans="1:18" ht="14.25" hidden="1" customHeight="1">
      <c r="R3" s="312">
        <v>0</v>
      </c>
    </row>
    <row r="4" spans="1:18" ht="6.4" customHeight="1">
      <c r="C4" s="314"/>
      <c r="D4" s="301"/>
      <c r="E4" s="301"/>
      <c r="F4" s="301"/>
      <c r="G4" s="26"/>
      <c r="H4" s="26"/>
      <c r="R4" s="312">
        <v>6</v>
      </c>
    </row>
    <row r="5" spans="1:18" ht="34.5" customHeight="1">
      <c r="C5" s="314"/>
      <c r="D5" s="5383"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5384"/>
      <c r="F5" s="5384"/>
      <c r="G5" s="5385"/>
      <c r="H5" s="204"/>
      <c r="R5" s="312">
        <v>33</v>
      </c>
    </row>
    <row r="6" spans="1:18" s="4267" customFormat="1" ht="18" customHeight="1">
      <c r="A6" s="1590"/>
      <c r="B6" s="1081"/>
      <c r="C6" s="314"/>
      <c r="D6" s="5445" t="str">
        <f>IF(org=0,"Не определено",org)</f>
        <v>КГУП "Примтеплоэнерго"</v>
      </c>
      <c r="E6" s="5446"/>
      <c r="F6" s="5446"/>
      <c r="G6" s="5447"/>
      <c r="H6" s="204"/>
      <c r="J6" s="1545"/>
      <c r="K6" s="1545"/>
      <c r="R6" s="1552">
        <v>17</v>
      </c>
    </row>
    <row r="7" spans="1:18" ht="14.65" customHeight="1">
      <c r="C7" s="314"/>
      <c r="D7" s="301"/>
      <c r="E7" s="327"/>
      <c r="F7" s="327"/>
      <c r="G7" s="690"/>
      <c r="H7" s="131"/>
      <c r="R7" s="312">
        <v>14</v>
      </c>
    </row>
    <row r="8" spans="1:18" ht="14.65" customHeight="1">
      <c r="C8" s="314"/>
      <c r="D8" s="5431" t="s">
        <v>393</v>
      </c>
      <c r="E8" s="5431"/>
      <c r="F8" s="5431"/>
      <c r="G8" s="5431"/>
      <c r="H8" s="5576" t="s">
        <v>394</v>
      </c>
      <c r="R8" s="312">
        <v>14</v>
      </c>
    </row>
    <row r="9" spans="1:18" ht="24" customHeight="1">
      <c r="C9" s="314"/>
      <c r="D9" s="324" t="s">
        <v>88</v>
      </c>
      <c r="E9" s="49" t="s">
        <v>395</v>
      </c>
      <c r="F9" s="49" t="s">
        <v>396</v>
      </c>
      <c r="G9" s="49" t="s">
        <v>483</v>
      </c>
      <c r="H9" s="5576"/>
      <c r="R9" s="312">
        <v>23</v>
      </c>
    </row>
    <row r="10" spans="1:18" ht="15" customHeight="1">
      <c r="A10" s="281"/>
      <c r="C10" s="314"/>
      <c r="D10" s="86" t="s">
        <v>136</v>
      </c>
      <c r="E10" s="180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4261" t="s">
        <v>1247</v>
      </c>
      <c r="G10" s="151" t="s">
        <v>1248</v>
      </c>
      <c r="H10" s="5377" t="s">
        <v>1249</v>
      </c>
      <c r="R10" s="312">
        <v>14</v>
      </c>
    </row>
    <row r="11" spans="1:18" ht="15" customHeight="1">
      <c r="A11" s="281"/>
      <c r="C11" s="314"/>
      <c r="D11" s="86" t="s">
        <v>103</v>
      </c>
      <c r="E11" s="180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1250</v>
      </c>
      <c r="G11" s="151" t="s">
        <v>1251</v>
      </c>
      <c r="H11" s="5378"/>
      <c r="R11" s="312">
        <v>14</v>
      </c>
    </row>
    <row r="12" spans="1:18" ht="15" customHeight="1">
      <c r="A12" s="43"/>
      <c r="C12" s="325"/>
      <c r="D12" s="86" t="s">
        <v>90</v>
      </c>
      <c r="E12" s="326" t="str">
        <f>"Сведения о планировании закупочных процедур"&amp;IF(TEMPLATE_SPHERE="TKO"," &lt;1&gt;","")</f>
        <v>Сведения о планировании закупочных процедур</v>
      </c>
      <c r="F12" s="195" t="s">
        <v>1252</v>
      </c>
      <c r="G12" s="151" t="s">
        <v>1253</v>
      </c>
      <c r="H12" s="53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5" customHeight="1">
      <c r="A13" s="43"/>
      <c r="C13" s="325"/>
      <c r="D13" s="86" t="s">
        <v>91</v>
      </c>
      <c r="E13" s="326" t="str">
        <f>"Сведения о результатах проведения закупочных процедур"&amp;IF(TEMPLATE_SPHERE="TKO"," &lt;1&gt;","")</f>
        <v>Сведения о результатах проведения закупочных процедур</v>
      </c>
      <c r="F13" s="195" t="s">
        <v>1254</v>
      </c>
      <c r="G13" s="151" t="s">
        <v>1253</v>
      </c>
      <c r="H13" s="5378"/>
      <c r="I13" s="288"/>
      <c r="K13" s="312"/>
      <c r="R13" s="312">
        <v>14</v>
      </c>
    </row>
    <row r="14" spans="1:18" ht="14.65" customHeight="1">
      <c r="A14" s="281"/>
      <c r="C14" s="314"/>
      <c r="D14" s="285"/>
      <c r="E14" s="333" t="s">
        <v>415</v>
      </c>
      <c r="F14" s="287"/>
      <c r="G14" s="139"/>
      <c r="H14" s="5379"/>
      <c r="R14" s="312">
        <v>14</v>
      </c>
    </row>
    <row r="15" spans="1:18" s="4267" customFormat="1" ht="14.65" customHeight="1">
      <c r="A15" s="281"/>
      <c r="B15" s="1081"/>
      <c r="C15" s="314"/>
      <c r="D15" s="334"/>
      <c r="E15" s="1598"/>
      <c r="F15" s="1599"/>
      <c r="G15" s="1600"/>
      <c r="H15" s="1601"/>
      <c r="J15" s="1545"/>
      <c r="K15" s="1545"/>
      <c r="R15" s="1552">
        <v>14</v>
      </c>
    </row>
    <row r="16" spans="1:18" ht="14.65" customHeight="1">
      <c r="D16" s="1602"/>
      <c r="E16" s="5468"/>
      <c r="F16" s="5468"/>
      <c r="G16" s="5468"/>
      <c r="H16" s="5468"/>
      <c r="R16" s="312">
        <v>14</v>
      </c>
    </row>
    <row r="17" spans="1:18" ht="22.5" hidden="1" customHeight="1">
      <c r="A17" s="302" t="s">
        <v>82</v>
      </c>
      <c r="B17" s="85">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88"/>
  <sheetViews>
    <sheetView showGridLines="0" topLeftCell="C4" zoomScale="90" workbookViewId="0">
      <selection activeCell="R134" sqref="R134:R135"/>
    </sheetView>
  </sheetViews>
  <sheetFormatPr defaultColWidth="9.140625" defaultRowHeight="11.25" customHeight="1"/>
  <cols>
    <col min="1" max="2" width="3.7109375" style="4281" hidden="1" customWidth="1"/>
    <col min="3" max="3" width="3" style="4284" customWidth="1"/>
    <col min="4" max="4" width="6" style="4284" customWidth="1"/>
    <col min="5" max="5" width="42" style="4284" customWidth="1"/>
    <col min="6" max="6" width="15" style="4284" customWidth="1"/>
    <col min="7" max="7" width="42" style="4284" customWidth="1"/>
    <col min="8" max="8" width="3" style="4284" customWidth="1"/>
    <col min="9" max="9" width="5" style="4284" customWidth="1"/>
    <col min="10" max="10" width="47" style="4284" customWidth="1"/>
    <col min="11" max="12" width="3" style="4284" customWidth="1"/>
    <col min="13" max="13" width="5" style="4284" customWidth="1"/>
    <col min="14" max="14" width="28" style="4284" customWidth="1"/>
    <col min="15" max="16" width="3" style="4284" customWidth="1"/>
    <col min="17" max="17" width="5" style="4284" customWidth="1"/>
    <col min="18" max="18" width="34" style="4284" customWidth="1"/>
    <col min="19" max="20" width="3.7109375" style="4284" hidden="1" customWidth="1"/>
    <col min="21" max="21" width="5.7109375" style="4284" hidden="1" customWidth="1"/>
    <col min="22" max="22" width="34.42578125" style="4284" hidden="1" customWidth="1"/>
    <col min="23" max="23" width="30" style="4284" customWidth="1"/>
    <col min="24" max="24" width="3" style="4284" customWidth="1"/>
    <col min="25" max="28" width="9.85546875" style="4286" hidden="1" customWidth="1"/>
    <col min="29" max="29" width="27" style="4286" hidden="1" customWidth="1"/>
    <col min="30" max="30" width="10.5703125" style="4286" hidden="1" customWidth="1"/>
    <col min="31" max="31" width="10.7109375" style="4286" hidden="1" customWidth="1"/>
    <col min="32" max="32" width="10" style="4286" hidden="1" customWidth="1"/>
    <col min="33" max="33" width="12.85546875" style="4286" hidden="1" customWidth="1"/>
    <col min="34" max="34" width="24.42578125" style="4286" hidden="1" customWidth="1"/>
    <col min="35" max="35" width="15.85546875" style="4286" hidden="1" customWidth="1"/>
    <col min="36" max="36" width="19.42578125" style="4286" hidden="1" customWidth="1"/>
    <col min="37" max="37" width="11" style="4286" hidden="1" customWidth="1"/>
    <col min="38" max="38" width="23.5703125" style="4286" hidden="1" customWidth="1"/>
    <col min="39" max="39" width="23.85546875" style="4286" hidden="1" customWidth="1"/>
    <col min="40" max="40" width="25.28515625" style="4286" hidden="1" customWidth="1"/>
    <col min="41" max="41" width="16.85546875" style="4286" hidden="1" customWidth="1"/>
    <col min="42" max="42" width="29.5703125" style="4286" hidden="1" customWidth="1"/>
    <col min="43" max="43" width="29.85546875" style="4286" hidden="1" customWidth="1"/>
    <col min="44" max="44" width="9.140625" style="4284" hidden="1"/>
  </cols>
  <sheetData>
    <row r="1" spans="1:44" ht="11.25" hidden="1" customHeight="1">
      <c r="A1" s="95"/>
      <c r="AR1" s="45" t="s">
        <v>14</v>
      </c>
    </row>
    <row r="2" spans="1:44" ht="11.25" hidden="1" customHeight="1">
      <c r="AR2" s="45">
        <v>0</v>
      </c>
    </row>
    <row r="3" spans="1:44" ht="11.25" hidden="1" customHeight="1">
      <c r="AR3" s="45">
        <v>0</v>
      </c>
    </row>
    <row r="4" spans="1:44" ht="3" customHeight="1">
      <c r="AR4" s="45">
        <v>3</v>
      </c>
    </row>
    <row r="5" spans="1:44" s="4283" customFormat="1" ht="30.4" customHeight="1">
      <c r="A5" s="93"/>
      <c r="B5" s="93"/>
      <c r="D5" s="53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5384"/>
      <c r="F5" s="5384"/>
      <c r="G5" s="5384"/>
      <c r="H5" s="5384"/>
      <c r="I5" s="5384"/>
      <c r="J5" s="5385"/>
      <c r="K5" s="203"/>
      <c r="L5" s="82"/>
      <c r="M5" s="82"/>
      <c r="N5" s="82"/>
      <c r="O5" s="82"/>
      <c r="P5" s="82"/>
      <c r="Q5" s="82"/>
      <c r="R5" s="82"/>
      <c r="S5" s="228"/>
      <c r="T5" s="228"/>
      <c r="U5" s="228"/>
      <c r="V5" s="228"/>
      <c r="W5" s="82"/>
      <c r="Y5" s="1181"/>
      <c r="Z5" s="1181"/>
      <c r="AA5" s="1181"/>
      <c r="AB5" s="1181"/>
      <c r="AC5" s="1181"/>
      <c r="AD5" s="1181"/>
      <c r="AE5" s="1181"/>
      <c r="AF5" s="1181"/>
      <c r="AG5" s="1181"/>
      <c r="AH5" s="1181"/>
      <c r="AI5" s="1181"/>
      <c r="AJ5" s="1181"/>
      <c r="AK5" s="1181"/>
      <c r="AL5" s="1181"/>
      <c r="AM5" s="1181"/>
      <c r="AN5" s="1181"/>
      <c r="AO5" s="1181"/>
      <c r="AP5" s="1181"/>
      <c r="AQ5" s="1181"/>
      <c r="AR5" s="52">
        <v>29</v>
      </c>
    </row>
    <row r="6" spans="1:44" s="4283" customFormat="1" ht="14.65" customHeight="1">
      <c r="A6" s="523"/>
      <c r="B6" s="523"/>
      <c r="C6" s="523"/>
      <c r="D6" s="5389" t="str">
        <f>IF(org=0,"Не определено",org)</f>
        <v>КГУП "Примтеплоэнерго"</v>
      </c>
      <c r="E6" s="5389"/>
      <c r="F6" s="5389"/>
      <c r="G6" s="5389"/>
      <c r="H6" s="5389"/>
      <c r="I6" s="5389"/>
      <c r="J6" s="5389"/>
      <c r="K6" s="524"/>
      <c r="L6" s="524"/>
      <c r="M6" s="524"/>
      <c r="N6" s="524"/>
      <c r="O6" s="798"/>
      <c r="P6" s="798"/>
      <c r="Q6" s="798"/>
      <c r="R6" s="798"/>
      <c r="S6" s="798"/>
      <c r="T6" s="798"/>
      <c r="U6" s="798"/>
      <c r="V6" s="798"/>
      <c r="W6" s="798"/>
      <c r="X6" s="524"/>
      <c r="Y6" s="1182"/>
      <c r="Z6" s="1182"/>
      <c r="AA6" s="1182"/>
      <c r="AB6" s="1182"/>
      <c r="AC6" s="1182"/>
      <c r="AD6" s="1182"/>
      <c r="AE6" s="1182"/>
      <c r="AF6" s="1182"/>
      <c r="AG6" s="1182"/>
      <c r="AH6" s="1182"/>
      <c r="AI6" s="1182"/>
      <c r="AJ6" s="1182"/>
      <c r="AK6" s="1182"/>
      <c r="AL6" s="1182"/>
      <c r="AM6" s="1182"/>
      <c r="AN6" s="1182"/>
      <c r="AO6" s="1182"/>
      <c r="AP6" s="1182"/>
      <c r="AQ6" s="1182"/>
      <c r="AR6" s="525">
        <v>14</v>
      </c>
    </row>
    <row r="7" spans="1:44" s="4287" customFormat="1" ht="11.45" customHeight="1">
      <c r="A7" s="149"/>
      <c r="B7" s="149"/>
      <c r="D7" s="5386"/>
      <c r="E7" s="5387"/>
      <c r="F7" s="5387"/>
      <c r="G7" s="5387"/>
      <c r="H7" s="5387"/>
      <c r="I7" s="5387"/>
      <c r="J7" s="5388"/>
      <c r="S7" s="237"/>
      <c r="T7" s="237"/>
      <c r="U7" s="237"/>
      <c r="V7" s="237"/>
      <c r="Y7" s="1183"/>
      <c r="Z7" s="1183"/>
      <c r="AA7" s="1183"/>
      <c r="AB7" s="1183"/>
      <c r="AC7" s="1183"/>
      <c r="AD7" s="1183"/>
      <c r="AE7" s="1183"/>
      <c r="AF7" s="1183"/>
      <c r="AG7" s="1183"/>
      <c r="AH7" s="1183"/>
      <c r="AI7" s="1183"/>
      <c r="AJ7" s="1183"/>
      <c r="AK7" s="1183"/>
      <c r="AL7" s="1183"/>
      <c r="AM7" s="1183"/>
      <c r="AN7" s="1183"/>
      <c r="AO7" s="1183"/>
      <c r="AP7" s="1183"/>
      <c r="AQ7" s="1183"/>
      <c r="AR7" s="214">
        <v>11</v>
      </c>
    </row>
    <row r="8" spans="1:44" s="4283" customFormat="1" ht="1.1499999999999999" customHeight="1">
      <c r="A8" s="93"/>
      <c r="B8" s="93"/>
      <c r="D8" s="150"/>
      <c r="E8" s="150"/>
      <c r="F8" s="150"/>
      <c r="G8" s="150"/>
      <c r="H8" s="150"/>
      <c r="I8" s="150"/>
      <c r="J8" s="150"/>
      <c r="K8" s="150"/>
      <c r="L8" s="150"/>
      <c r="M8" s="150"/>
      <c r="N8" s="150"/>
      <c r="O8" s="150"/>
      <c r="P8" s="150"/>
      <c r="Q8" s="150"/>
      <c r="R8" s="150"/>
      <c r="S8" s="150"/>
      <c r="T8" s="150"/>
      <c r="U8" s="150"/>
      <c r="V8" s="150"/>
      <c r="W8" s="150"/>
      <c r="X8" s="72"/>
      <c r="Y8" s="1181"/>
      <c r="Z8" s="1181"/>
      <c r="AA8" s="1181"/>
      <c r="AB8" s="1181"/>
      <c r="AC8" s="1181"/>
      <c r="AD8" s="1181"/>
      <c r="AE8" s="1181"/>
      <c r="AF8" s="1181"/>
      <c r="AG8" s="1181"/>
      <c r="AH8" s="1181"/>
      <c r="AI8" s="1181"/>
      <c r="AJ8" s="1181"/>
      <c r="AK8" s="1181"/>
      <c r="AL8" s="1181"/>
      <c r="AM8" s="1181"/>
      <c r="AN8" s="1181"/>
      <c r="AO8" s="1181"/>
      <c r="AP8" s="1181"/>
      <c r="AQ8" s="1181"/>
      <c r="AR8" s="52">
        <v>1</v>
      </c>
    </row>
    <row r="9" spans="1:44" ht="28.5" customHeight="1">
      <c r="D9" s="5328" t="s">
        <v>88</v>
      </c>
      <c r="E9" s="5309" t="s">
        <v>154</v>
      </c>
      <c r="F9" s="5308"/>
      <c r="G9" s="5328" t="s">
        <v>141</v>
      </c>
      <c r="H9" s="5328" t="s">
        <v>88</v>
      </c>
      <c r="I9" s="5328"/>
      <c r="J9" s="5328" t="s">
        <v>155</v>
      </c>
      <c r="K9" s="5390" t="s">
        <v>156</v>
      </c>
      <c r="L9" s="5390"/>
      <c r="M9" s="5390"/>
      <c r="N9" s="5390"/>
      <c r="O9" s="5390" t="s">
        <v>157</v>
      </c>
      <c r="P9" s="5390"/>
      <c r="Q9" s="5390"/>
      <c r="R9" s="5390"/>
      <c r="S9" s="5390" t="s">
        <v>158</v>
      </c>
      <c r="T9" s="5390"/>
      <c r="U9" s="5390"/>
      <c r="V9" s="5390"/>
      <c r="W9" s="5328" t="s">
        <v>159</v>
      </c>
      <c r="AR9" s="45">
        <v>27</v>
      </c>
    </row>
    <row r="10" spans="1:44" ht="31.5" customHeight="1">
      <c r="D10" s="5328"/>
      <c r="E10" s="1205" t="s">
        <v>89</v>
      </c>
      <c r="F10" s="1205" t="s">
        <v>160</v>
      </c>
      <c r="G10" s="5328"/>
      <c r="H10" s="5328"/>
      <c r="I10" s="5328"/>
      <c r="J10" s="5328"/>
      <c r="K10" s="51" t="s">
        <v>144</v>
      </c>
      <c r="L10" s="5328" t="s">
        <v>88</v>
      </c>
      <c r="M10" s="5328"/>
      <c r="N10" s="51" t="s">
        <v>161</v>
      </c>
      <c r="O10" s="51" t="s">
        <v>144</v>
      </c>
      <c r="P10" s="5328" t="s">
        <v>88</v>
      </c>
      <c r="Q10" s="5328"/>
      <c r="R10" s="51" t="s">
        <v>161</v>
      </c>
      <c r="S10" s="221" t="s">
        <v>144</v>
      </c>
      <c r="T10" s="5328" t="s">
        <v>88</v>
      </c>
      <c r="U10" s="5328"/>
      <c r="V10" s="221" t="s">
        <v>89</v>
      </c>
      <c r="W10" s="5328"/>
      <c r="Z10" s="1180" t="s">
        <v>162</v>
      </c>
      <c r="AA10" s="1180" t="s">
        <v>163</v>
      </c>
      <c r="AB10" s="1180" t="s">
        <v>164</v>
      </c>
      <c r="AC10" s="1180" t="s">
        <v>165</v>
      </c>
      <c r="AD10" s="1180" t="s">
        <v>166</v>
      </c>
      <c r="AE10" s="1180" t="s">
        <v>167</v>
      </c>
      <c r="AF10" s="1180" t="s">
        <v>168</v>
      </c>
      <c r="AG10" s="1180" t="s">
        <v>169</v>
      </c>
      <c r="AH10" s="1180" t="s">
        <v>170</v>
      </c>
      <c r="AI10" s="1180" t="s">
        <v>171</v>
      </c>
      <c r="AJ10" s="1180" t="s">
        <v>172</v>
      </c>
      <c r="AK10" s="1180" t="s">
        <v>173</v>
      </c>
      <c r="AL10" s="1180" t="s">
        <v>174</v>
      </c>
      <c r="AM10" s="1180" t="s">
        <v>175</v>
      </c>
      <c r="AN10" s="1180" t="s">
        <v>176</v>
      </c>
      <c r="AO10" s="1180" t="s">
        <v>177</v>
      </c>
      <c r="AP10" s="1180" t="s">
        <v>178</v>
      </c>
      <c r="AQ10" s="1180" t="s">
        <v>179</v>
      </c>
      <c r="AR10" s="45">
        <v>30</v>
      </c>
    </row>
    <row r="11" spans="1:44" s="4281" customFormat="1" ht="12" hidden="1" customHeight="1">
      <c r="D11" s="1170" t="s">
        <v>136</v>
      </c>
      <c r="E11" s="1170" t="s">
        <v>103</v>
      </c>
      <c r="F11" s="1170"/>
      <c r="G11" s="1170" t="s">
        <v>90</v>
      </c>
      <c r="H11" s="5382" t="s">
        <v>116</v>
      </c>
      <c r="I11" s="5382"/>
      <c r="J11" s="1170" t="s">
        <v>92</v>
      </c>
      <c r="K11" s="1170" t="s">
        <v>93</v>
      </c>
      <c r="L11" s="5382" t="s">
        <v>129</v>
      </c>
      <c r="M11" s="5382"/>
      <c r="N11" s="1170" t="s">
        <v>134</v>
      </c>
      <c r="O11" s="1170" t="s">
        <v>180</v>
      </c>
      <c r="P11" s="5382" t="s">
        <v>181</v>
      </c>
      <c r="Q11" s="5382"/>
      <c r="R11" s="1170" t="s">
        <v>182</v>
      </c>
      <c r="S11" s="1170" t="s">
        <v>181</v>
      </c>
      <c r="T11" s="5382" t="s">
        <v>182</v>
      </c>
      <c r="U11" s="5382"/>
      <c r="V11" s="1170" t="s">
        <v>183</v>
      </c>
      <c r="W11" s="1170" t="s">
        <v>184</v>
      </c>
      <c r="Y11" s="1180"/>
      <c r="Z11" s="1180"/>
      <c r="AA11" s="1180"/>
      <c r="AB11" s="1180"/>
      <c r="AC11" s="1180"/>
      <c r="AD11" s="1180"/>
      <c r="AE11" s="1180"/>
      <c r="AF11" s="1180"/>
      <c r="AG11" s="1180"/>
      <c r="AH11" s="1180"/>
      <c r="AI11" s="1180"/>
      <c r="AJ11" s="1180"/>
      <c r="AK11" s="1180"/>
      <c r="AL11" s="1180"/>
      <c r="AM11" s="1180"/>
      <c r="AN11" s="1180"/>
      <c r="AO11" s="1180"/>
      <c r="AP11" s="1180"/>
      <c r="AQ11" s="1180"/>
      <c r="AR11" s="215">
        <v>0</v>
      </c>
    </row>
    <row r="12" spans="1:44" ht="14.25" hidden="1" customHeight="1">
      <c r="C12" s="147"/>
      <c r="D12" s="1203">
        <v>0</v>
      </c>
      <c r="E12" s="188"/>
      <c r="F12" s="188"/>
      <c r="G12" s="188"/>
      <c r="H12" s="189"/>
      <c r="I12" s="189"/>
      <c r="J12" s="97"/>
      <c r="K12" s="53"/>
      <c r="L12" s="97"/>
      <c r="M12" s="97"/>
      <c r="N12" s="190"/>
      <c r="O12" s="53"/>
      <c r="P12" s="97"/>
      <c r="Q12" s="97"/>
      <c r="R12" s="191"/>
      <c r="S12" s="222"/>
      <c r="T12" s="230"/>
      <c r="U12" s="230"/>
      <c r="V12" s="234"/>
      <c r="W12" s="53"/>
      <c r="X12" s="81"/>
      <c r="AR12" s="45">
        <v>0</v>
      </c>
    </row>
    <row r="13" spans="1:44" s="4284" customFormat="1" ht="17.25" hidden="1" customHeight="1">
      <c r="A13" s="259"/>
      <c r="C13" s="147"/>
      <c r="D13" s="5361">
        <v>1</v>
      </c>
      <c r="E13" s="5350" t="s">
        <v>185</v>
      </c>
      <c r="F13" s="5363" t="s">
        <v>19</v>
      </c>
      <c r="G13" s="5350"/>
      <c r="H13" s="5352"/>
      <c r="I13" s="5354"/>
      <c r="J13" s="5356"/>
      <c r="K13" s="5348"/>
      <c r="L13" s="5348"/>
      <c r="M13" s="5348"/>
      <c r="N13" s="5359"/>
      <c r="O13" s="5348"/>
      <c r="P13" s="5348"/>
      <c r="Q13" s="5348"/>
      <c r="R13" s="5346"/>
      <c r="S13" s="5348"/>
      <c r="T13" s="1341"/>
      <c r="U13" s="1341"/>
      <c r="V13" s="1340"/>
      <c r="W13" s="1217"/>
      <c r="Y13" s="1188"/>
      <c r="Z13" s="1188"/>
      <c r="AA13" s="1188"/>
      <c r="AB13" s="1188"/>
      <c r="AC13" s="1188" t="s">
        <v>186</v>
      </c>
      <c r="AD13" s="1188" t="s">
        <v>187</v>
      </c>
      <c r="AE13" s="1188" t="s">
        <v>188</v>
      </c>
      <c r="AF13" s="1188" t="s">
        <v>189</v>
      </c>
      <c r="AG13" s="1188" t="s">
        <v>190</v>
      </c>
      <c r="AH13" s="118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8" t="str">
        <f>IF($G$13=0,"",$G$13)</f>
        <v/>
      </c>
      <c r="AJ13" s="1188" t="str">
        <f>IF($J$13=0,"",$J$13)</f>
        <v/>
      </c>
      <c r="AK13" s="1188" t="str">
        <f>IF($K$13="нет","без дифференциации",IF($N$13=0,"",$N$13))</f>
        <v/>
      </c>
      <c r="AL13" s="1188" t="str">
        <f>IF($O$13="нет","без дифференциации",IF($R$13=0,"",$R$13))</f>
        <v/>
      </c>
      <c r="AM13" s="1188" t="str">
        <f>IF($S$13="нет","без дифференциации",IF($V$13=0,"",$V$13))</f>
        <v/>
      </c>
      <c r="AN13" s="1188">
        <f>$I$13</f>
        <v>0</v>
      </c>
      <c r="AO13" s="1188" t="str">
        <f>$I$13&amp;"."&amp;$M$13</f>
        <v>.</v>
      </c>
      <c r="AP13" s="1188" t="str">
        <f>$I$13&amp;"."&amp;$M$13&amp;"."&amp;$Q$13</f>
        <v>..</v>
      </c>
      <c r="AQ13" s="1188" t="str">
        <f>$I$13&amp;"."&amp;$M$13&amp;"."&amp;$Q$13&amp;"."&amp;$U$13</f>
        <v>...</v>
      </c>
      <c r="AR13" s="688">
        <v>0</v>
      </c>
    </row>
    <row r="14" spans="1:44" s="4284" customFormat="1" ht="17.25" hidden="1" customHeight="1">
      <c r="A14" s="259"/>
      <c r="C14" s="258"/>
      <c r="D14" s="5361"/>
      <c r="E14" s="5350"/>
      <c r="F14" s="5364"/>
      <c r="G14" s="5350"/>
      <c r="H14" s="5353"/>
      <c r="I14" s="5355"/>
      <c r="J14" s="5357"/>
      <c r="K14" s="5349"/>
      <c r="L14" s="5349"/>
      <c r="M14" s="5349"/>
      <c r="N14" s="5360"/>
      <c r="O14" s="5349"/>
      <c r="P14" s="5349"/>
      <c r="Q14" s="5349"/>
      <c r="R14" s="5347"/>
      <c r="S14" s="5349"/>
      <c r="T14" s="1218"/>
      <c r="U14" s="1218"/>
      <c r="V14" s="1218"/>
      <c r="W14" s="1219"/>
      <c r="Y14" s="1180"/>
      <c r="Z14" s="1180"/>
      <c r="AA14" s="1180"/>
      <c r="AB14" s="1180"/>
      <c r="AC14" s="1180"/>
      <c r="AD14" s="1180"/>
      <c r="AE14" s="1180"/>
      <c r="AF14" s="1180"/>
      <c r="AG14" s="1180"/>
      <c r="AH14" s="1180"/>
      <c r="AI14" s="1180"/>
      <c r="AJ14" s="1180"/>
      <c r="AK14" s="1180"/>
      <c r="AL14" s="1180"/>
      <c r="AM14" s="1180"/>
      <c r="AN14" s="1180"/>
      <c r="AO14" s="1180"/>
      <c r="AP14" s="1180"/>
      <c r="AQ14" s="1180"/>
      <c r="AR14" s="688">
        <v>0</v>
      </c>
    </row>
    <row r="15" spans="1:44" s="4284" customFormat="1" ht="17.25" hidden="1" customHeight="1">
      <c r="A15" s="259"/>
      <c r="C15" s="147"/>
      <c r="D15" s="5361"/>
      <c r="E15" s="5350"/>
      <c r="F15" s="5364"/>
      <c r="G15" s="5350"/>
      <c r="H15" s="5353"/>
      <c r="I15" s="5355"/>
      <c r="J15" s="5358"/>
      <c r="K15" s="5349"/>
      <c r="L15" s="5349"/>
      <c r="M15" s="5349"/>
      <c r="N15" s="5347"/>
      <c r="O15" s="5349"/>
      <c r="P15" s="1339"/>
      <c r="Q15" s="1218"/>
      <c r="R15" s="1218"/>
      <c r="S15" s="267"/>
      <c r="T15" s="267"/>
      <c r="U15" s="267"/>
      <c r="V15" s="267"/>
      <c r="W15" s="1219"/>
      <c r="Y15" s="1188"/>
      <c r="Z15" s="1188"/>
      <c r="AA15" s="1188"/>
      <c r="AB15" s="1188"/>
      <c r="AC15" s="1188"/>
      <c r="AD15" s="1188"/>
      <c r="AE15" s="1188"/>
      <c r="AF15" s="1188"/>
      <c r="AG15" s="1188"/>
      <c r="AH15" s="1188"/>
      <c r="AI15" s="1188"/>
      <c r="AJ15" s="1188"/>
      <c r="AK15" s="1188"/>
      <c r="AL15" s="1188"/>
      <c r="AM15" s="1188"/>
      <c r="AN15" s="1188"/>
      <c r="AO15" s="1188"/>
      <c r="AP15" s="1188"/>
      <c r="AQ15" s="1188"/>
      <c r="AR15" s="1338">
        <v>0</v>
      </c>
    </row>
    <row r="16" spans="1:44" s="4284" customFormat="1" ht="17.25" hidden="1" customHeight="1">
      <c r="A16" s="259"/>
      <c r="C16" s="258"/>
      <c r="D16" s="5361"/>
      <c r="E16" s="5350"/>
      <c r="F16" s="5364"/>
      <c r="G16" s="5350"/>
      <c r="H16" s="5353"/>
      <c r="I16" s="5355"/>
      <c r="J16" s="5358"/>
      <c r="K16" s="5349"/>
      <c r="L16" s="1218"/>
      <c r="M16" s="1218"/>
      <c r="N16" s="1218"/>
      <c r="O16" s="1218"/>
      <c r="P16" s="1218"/>
      <c r="Q16" s="1218"/>
      <c r="R16" s="1218"/>
      <c r="S16" s="267"/>
      <c r="T16" s="267"/>
      <c r="U16" s="267"/>
      <c r="V16" s="267"/>
      <c r="W16" s="1219"/>
      <c r="Y16" s="1180"/>
      <c r="Z16" s="1180"/>
      <c r="AA16" s="1180"/>
      <c r="AB16" s="1180"/>
      <c r="AC16" s="1180"/>
      <c r="AD16" s="1180"/>
      <c r="AE16" s="1180"/>
      <c r="AF16" s="1180"/>
      <c r="AG16" s="1180"/>
      <c r="AH16" s="1180"/>
      <c r="AI16" s="1180"/>
      <c r="AJ16" s="1180"/>
      <c r="AK16" s="1180"/>
      <c r="AL16" s="1180"/>
      <c r="AM16" s="1180"/>
      <c r="AN16" s="1180"/>
      <c r="AO16" s="1180"/>
      <c r="AP16" s="1180"/>
      <c r="AQ16" s="1180"/>
      <c r="AR16" s="1338">
        <v>0</v>
      </c>
    </row>
    <row r="17" spans="1:44" s="4284" customFormat="1" ht="17.25" hidden="1" customHeight="1">
      <c r="A17" s="259"/>
      <c r="C17" s="258"/>
      <c r="D17" s="5362"/>
      <c r="E17" s="5351"/>
      <c r="F17" s="5365"/>
      <c r="G17" s="5351"/>
      <c r="H17" s="1220"/>
      <c r="I17" s="1221"/>
      <c r="J17" s="1221"/>
      <c r="K17" s="1221"/>
      <c r="L17" s="1221"/>
      <c r="M17" s="1221"/>
      <c r="N17" s="1221"/>
      <c r="O17" s="1221"/>
      <c r="P17" s="1221"/>
      <c r="Q17" s="1221"/>
      <c r="R17" s="1221"/>
      <c r="S17" s="1222"/>
      <c r="T17" s="1222"/>
      <c r="U17" s="1222"/>
      <c r="V17" s="1222"/>
      <c r="W17" s="1223"/>
      <c r="Y17" s="1180"/>
      <c r="Z17" s="1180"/>
      <c r="AA17" s="1180"/>
      <c r="AB17" s="1180"/>
      <c r="AC17" s="1180"/>
      <c r="AD17" s="1180"/>
      <c r="AE17" s="1180"/>
      <c r="AF17" s="1180"/>
      <c r="AG17" s="1180"/>
      <c r="AH17" s="1180"/>
      <c r="AI17" s="1180"/>
      <c r="AJ17" s="1180"/>
      <c r="AK17" s="1180"/>
      <c r="AL17" s="1180"/>
      <c r="AM17" s="1180"/>
      <c r="AN17" s="1180"/>
      <c r="AO17" s="1180"/>
      <c r="AP17" s="1180"/>
      <c r="AQ17" s="1180"/>
      <c r="AR17" s="688">
        <v>0</v>
      </c>
    </row>
    <row r="18" spans="1:44" s="4284" customFormat="1" ht="17.25" hidden="1" customHeight="1">
      <c r="A18" s="259"/>
      <c r="C18" s="147"/>
      <c r="D18" s="5361">
        <v>2</v>
      </c>
      <c r="E18" s="5380"/>
      <c r="F18" s="5363" t="s">
        <v>19</v>
      </c>
      <c r="G18" s="5350"/>
      <c r="H18" s="5352"/>
      <c r="I18" s="5354"/>
      <c r="J18" s="5356"/>
      <c r="K18" s="5348"/>
      <c r="L18" s="5348"/>
      <c r="M18" s="5348"/>
      <c r="N18" s="5359"/>
      <c r="O18" s="5348"/>
      <c r="P18" s="5348"/>
      <c r="Q18" s="5348"/>
      <c r="R18" s="5346"/>
      <c r="S18" s="5348"/>
      <c r="T18" s="1341"/>
      <c r="U18" s="1341"/>
      <c r="V18" s="1340"/>
      <c r="W18" s="1217"/>
      <c r="X18" s="1188"/>
      <c r="Y18" s="1188"/>
      <c r="Z18" s="1188"/>
      <c r="AA18" s="1188"/>
      <c r="AB18" s="1188"/>
      <c r="AC18" s="1188" t="s">
        <v>191</v>
      </c>
      <c r="AD18" s="1188" t="s">
        <v>192</v>
      </c>
      <c r="AE18" s="1188" t="s">
        <v>193</v>
      </c>
      <c r="AF18" s="1188" t="s">
        <v>194</v>
      </c>
      <c r="AG18" s="1188" t="s">
        <v>195</v>
      </c>
      <c r="AH18" s="1188" t="str">
        <f>IF($E$18=0,"",$E$18)</f>
        <v/>
      </c>
      <c r="AI18" s="1188" t="str">
        <f>IF($G$18=0,"",$G$18)</f>
        <v/>
      </c>
      <c r="AJ18" s="1188" t="str">
        <f>IF($J$18=0,"",$J$18)</f>
        <v/>
      </c>
      <c r="AK18" s="1188" t="str">
        <f>IF($K$18="нет","без дифференциации",IF($N$18=0,"",$N$18))</f>
        <v/>
      </c>
      <c r="AL18" s="1188" t="str">
        <f>IF($O$18="нет","без дифференциации",IF($R$18=0,"",$R$18))</f>
        <v/>
      </c>
      <c r="AM18" s="1188" t="str">
        <f>IF($S$18="нет","без дифференциации",IF($V$18=0,"",$V$18))</f>
        <v/>
      </c>
      <c r="AN18" s="1692">
        <f>$I$18</f>
        <v>0</v>
      </c>
      <c r="AO18" s="1188" t="str">
        <f>$I$18&amp;"."&amp;$M$18</f>
        <v>.</v>
      </c>
      <c r="AP18" s="1180" t="str">
        <f>$I$18&amp;"."&amp;$M$18&amp;"."&amp;$Q$18</f>
        <v>..</v>
      </c>
      <c r="AQ18" s="1180" t="str">
        <f>$I$18&amp;"."&amp;$M$18&amp;"."&amp;$Q$18&amp;"."&amp;$U$18</f>
        <v>...</v>
      </c>
      <c r="AR18" s="1204">
        <v>0</v>
      </c>
    </row>
    <row r="19" spans="1:44" s="4284" customFormat="1" ht="17.25" hidden="1" customHeight="1">
      <c r="A19" s="259"/>
      <c r="C19" s="258"/>
      <c r="D19" s="5361"/>
      <c r="E19" s="5380"/>
      <c r="F19" s="5364"/>
      <c r="G19" s="5350"/>
      <c r="H19" s="5353"/>
      <c r="I19" s="5355"/>
      <c r="J19" s="5357"/>
      <c r="K19" s="5349"/>
      <c r="L19" s="5349"/>
      <c r="M19" s="5349"/>
      <c r="N19" s="5360"/>
      <c r="O19" s="5349"/>
      <c r="P19" s="5349"/>
      <c r="Q19" s="5349"/>
      <c r="R19" s="5347"/>
      <c r="S19" s="5349"/>
      <c r="T19" s="1218"/>
      <c r="U19" s="1218"/>
      <c r="V19" s="1218"/>
      <c r="W19" s="1219"/>
      <c r="X19" s="1180"/>
      <c r="Y19" s="1180"/>
      <c r="Z19" s="1180"/>
      <c r="AA19" s="1180"/>
      <c r="AB19" s="1180"/>
      <c r="AC19" s="1180"/>
      <c r="AD19" s="1180"/>
      <c r="AE19" s="1180"/>
      <c r="AF19" s="1180"/>
      <c r="AG19" s="1180"/>
      <c r="AH19" s="1180"/>
      <c r="AI19" s="1180"/>
      <c r="AJ19" s="1180"/>
      <c r="AK19" s="1180"/>
      <c r="AL19" s="1180"/>
      <c r="AM19" s="1180"/>
      <c r="AN19" s="1180"/>
      <c r="AO19" s="1180"/>
      <c r="AP19" s="1180"/>
      <c r="AQ19" s="1180"/>
      <c r="AR19" s="1204">
        <v>0</v>
      </c>
    </row>
    <row r="20" spans="1:44" s="4284" customFormat="1" ht="17.25" hidden="1" customHeight="1">
      <c r="A20" s="259"/>
      <c r="C20" s="258"/>
      <c r="D20" s="5362"/>
      <c r="E20" s="5381"/>
      <c r="F20" s="5364"/>
      <c r="G20" s="5351"/>
      <c r="H20" s="5353"/>
      <c r="I20" s="5355"/>
      <c r="J20" s="5358"/>
      <c r="K20" s="5349"/>
      <c r="L20" s="5349"/>
      <c r="M20" s="5349"/>
      <c r="N20" s="5347"/>
      <c r="O20" s="5349"/>
      <c r="P20" s="1339"/>
      <c r="Q20" s="1218"/>
      <c r="R20" s="1218"/>
      <c r="S20" s="267"/>
      <c r="T20" s="267"/>
      <c r="U20" s="267"/>
      <c r="V20" s="267"/>
      <c r="W20" s="1219"/>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204">
        <v>0</v>
      </c>
    </row>
    <row r="21" spans="1:44" s="4284" customFormat="1" ht="17.25" hidden="1" customHeight="1">
      <c r="A21" s="259"/>
      <c r="C21" s="258"/>
      <c r="D21" s="5362"/>
      <c r="E21" s="5381"/>
      <c r="F21" s="5364"/>
      <c r="G21" s="5351"/>
      <c r="H21" s="5353"/>
      <c r="I21" s="5355"/>
      <c r="J21" s="5358"/>
      <c r="K21" s="5349"/>
      <c r="L21" s="1218"/>
      <c r="M21" s="1218"/>
      <c r="N21" s="1218"/>
      <c r="O21" s="1218"/>
      <c r="P21" s="1218"/>
      <c r="Q21" s="1218"/>
      <c r="R21" s="1218"/>
      <c r="S21" s="267"/>
      <c r="T21" s="267"/>
      <c r="U21" s="267"/>
      <c r="V21" s="267"/>
      <c r="W21" s="1219"/>
      <c r="X21" s="1180"/>
      <c r="Y21" s="1180"/>
      <c r="Z21" s="1180"/>
      <c r="AA21" s="1180"/>
      <c r="AB21" s="1180"/>
      <c r="AC21" s="1180"/>
      <c r="AD21" s="1180"/>
      <c r="AE21" s="1180"/>
      <c r="AF21" s="1180"/>
      <c r="AG21" s="1180"/>
      <c r="AH21" s="1180"/>
      <c r="AI21" s="1180"/>
      <c r="AJ21" s="1180"/>
      <c r="AK21" s="1180"/>
      <c r="AL21" s="1180"/>
      <c r="AM21" s="1180"/>
      <c r="AN21" s="1180"/>
      <c r="AO21" s="1180"/>
      <c r="AP21" s="1180"/>
      <c r="AQ21" s="1180"/>
      <c r="AR21" s="1204">
        <v>0</v>
      </c>
    </row>
    <row r="22" spans="1:44" s="4284" customFormat="1" ht="17.25" hidden="1" customHeight="1">
      <c r="A22" s="259"/>
      <c r="C22" s="258"/>
      <c r="D22" s="5362"/>
      <c r="E22" s="5381"/>
      <c r="F22" s="5365"/>
      <c r="G22" s="5351"/>
      <c r="H22" s="1220"/>
      <c r="I22" s="1221"/>
      <c r="J22" s="1221"/>
      <c r="K22" s="1221"/>
      <c r="L22" s="1221"/>
      <c r="M22" s="1221"/>
      <c r="N22" s="1221"/>
      <c r="O22" s="1221"/>
      <c r="P22" s="1221"/>
      <c r="Q22" s="1221"/>
      <c r="R22" s="1221"/>
      <c r="S22" s="1222"/>
      <c r="T22" s="1222"/>
      <c r="U22" s="1222"/>
      <c r="V22" s="1222"/>
      <c r="W22" s="1223"/>
      <c r="X22" s="1180"/>
      <c r="Y22" s="1180"/>
      <c r="Z22" s="1180"/>
      <c r="AA22" s="1180"/>
      <c r="AB22" s="1180"/>
      <c r="AC22" s="1180"/>
      <c r="AD22" s="1180"/>
      <c r="AE22" s="1180"/>
      <c r="AF22" s="1180"/>
      <c r="AG22" s="1180"/>
      <c r="AH22" s="1180"/>
      <c r="AI22" s="1180"/>
      <c r="AJ22" s="1180"/>
      <c r="AK22" s="1180"/>
      <c r="AL22" s="1180"/>
      <c r="AM22" s="1180"/>
      <c r="AN22" s="1180"/>
      <c r="AO22" s="1180"/>
      <c r="AP22" s="1180"/>
      <c r="AQ22" s="1180"/>
      <c r="AR22" s="1204">
        <v>0</v>
      </c>
    </row>
    <row r="23" spans="1:44" s="4284" customFormat="1" ht="17.25" hidden="1" customHeight="1">
      <c r="A23" s="259"/>
      <c r="C23" s="147"/>
      <c r="D23" s="5361">
        <v>2</v>
      </c>
      <c r="E23" s="5350" t="s">
        <v>196</v>
      </c>
      <c r="F23" s="5363" t="s">
        <v>19</v>
      </c>
      <c r="G23" s="5350"/>
      <c r="H23" s="5352"/>
      <c r="I23" s="5354"/>
      <c r="J23" s="5356"/>
      <c r="K23" s="5348"/>
      <c r="L23" s="5348"/>
      <c r="M23" s="5348"/>
      <c r="N23" s="5359"/>
      <c r="O23" s="5348"/>
      <c r="P23" s="5348"/>
      <c r="Q23" s="5348"/>
      <c r="R23" s="5346"/>
      <c r="S23" s="5348"/>
      <c r="T23" s="1913"/>
      <c r="U23" s="1913"/>
      <c r="V23" s="1915"/>
      <c r="W23" s="1217"/>
      <c r="X23" s="1188"/>
      <c r="Y23" s="1188"/>
      <c r="Z23" s="1188"/>
      <c r="AA23" s="1188"/>
      <c r="AB23" s="1188"/>
      <c r="AC23" s="1188" t="s">
        <v>191</v>
      </c>
      <c r="AD23" s="1188" t="s">
        <v>192</v>
      </c>
      <c r="AE23" s="1188" t="s">
        <v>193</v>
      </c>
      <c r="AF23" s="1188" t="s">
        <v>194</v>
      </c>
      <c r="AG23" s="1188" t="s">
        <v>195</v>
      </c>
      <c r="AH23" s="1188"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8" t="str">
        <f>IF($G$23=0,"",$G$23)</f>
        <v/>
      </c>
      <c r="AJ23" s="1188" t="str">
        <f>IF($J$23=0,"",$J$23)</f>
        <v/>
      </c>
      <c r="AK23" s="1188" t="str">
        <f>IF($K$23="нет","без дифференциации",IF($N$23=0,"",$N$23))</f>
        <v/>
      </c>
      <c r="AL23" s="1188" t="str">
        <f>IF($O$23="нет","без дифференциации",IF($R$23=0,"",$R$23))</f>
        <v/>
      </c>
      <c r="AM23" s="1188" t="str">
        <f>IF($S$23="нет","без дифференциации",IF($V$23=0,"",$V$23))</f>
        <v/>
      </c>
      <c r="AN23" s="1692">
        <f>$I$23</f>
        <v>0</v>
      </c>
      <c r="AO23" s="1188" t="str">
        <f>$I$23&amp;"."&amp;$M$23</f>
        <v>.</v>
      </c>
      <c r="AP23" s="1187" t="str">
        <f>$I$23&amp;"."&amp;$M$23&amp;"."&amp;$Q$23</f>
        <v>..</v>
      </c>
      <c r="AQ23" s="1187" t="str">
        <f>$I$23&amp;"."&amp;$M$23&amp;"."&amp;$Q$23&amp;"."&amp;$U$23</f>
        <v>...</v>
      </c>
      <c r="AR23" s="1388">
        <v>0</v>
      </c>
    </row>
    <row r="24" spans="1:44" s="4284" customFormat="1" ht="17.25" hidden="1" customHeight="1">
      <c r="A24" s="259"/>
      <c r="C24" s="258"/>
      <c r="D24" s="5361"/>
      <c r="E24" s="5350"/>
      <c r="F24" s="5364"/>
      <c r="G24" s="5350"/>
      <c r="H24" s="5353"/>
      <c r="I24" s="5355"/>
      <c r="J24" s="5357"/>
      <c r="K24" s="5349"/>
      <c r="L24" s="5349"/>
      <c r="M24" s="5349"/>
      <c r="N24" s="5360"/>
      <c r="O24" s="5349"/>
      <c r="P24" s="5349"/>
      <c r="Q24" s="5349"/>
      <c r="R24" s="5347"/>
      <c r="S24" s="5349"/>
      <c r="T24" s="1918"/>
      <c r="U24" s="1918"/>
      <c r="V24" s="1918"/>
      <c r="W24" s="1919"/>
      <c r="X24" s="1187"/>
      <c r="Y24" s="1187"/>
      <c r="Z24" s="1187"/>
      <c r="AA24" s="1187"/>
      <c r="AB24" s="1187"/>
      <c r="AC24" s="1187"/>
      <c r="AD24" s="1187"/>
      <c r="AE24" s="1187"/>
      <c r="AF24" s="1187"/>
      <c r="AG24" s="1187"/>
      <c r="AH24" s="1187"/>
      <c r="AI24" s="1187"/>
      <c r="AJ24" s="1187"/>
      <c r="AK24" s="1187"/>
      <c r="AL24" s="1187"/>
      <c r="AM24" s="1187"/>
      <c r="AN24" s="1187"/>
      <c r="AO24" s="1187"/>
      <c r="AP24" s="1187"/>
      <c r="AQ24" s="1187"/>
      <c r="AR24" s="1388">
        <v>0</v>
      </c>
    </row>
    <row r="25" spans="1:44" s="4284" customFormat="1" ht="17.25" hidden="1" customHeight="1">
      <c r="A25" s="259"/>
      <c r="C25" s="258"/>
      <c r="D25" s="5362"/>
      <c r="E25" s="5351"/>
      <c r="F25" s="5364"/>
      <c r="G25" s="5351"/>
      <c r="H25" s="5353"/>
      <c r="I25" s="5355"/>
      <c r="J25" s="5358"/>
      <c r="K25" s="5349"/>
      <c r="L25" s="5349"/>
      <c r="M25" s="5349"/>
      <c r="N25" s="5347"/>
      <c r="O25" s="5349"/>
      <c r="P25" s="1914"/>
      <c r="Q25" s="1918"/>
      <c r="R25" s="1918"/>
      <c r="S25" s="267"/>
      <c r="T25" s="267"/>
      <c r="U25" s="267"/>
      <c r="V25" s="267"/>
      <c r="W25" s="1919"/>
      <c r="X25" s="1187"/>
      <c r="Y25" s="1187"/>
      <c r="Z25" s="1187"/>
      <c r="AA25" s="1187"/>
      <c r="AB25" s="1187"/>
      <c r="AC25" s="1187"/>
      <c r="AD25" s="1187"/>
      <c r="AE25" s="1187"/>
      <c r="AF25" s="1187"/>
      <c r="AG25" s="1187"/>
      <c r="AH25" s="1187"/>
      <c r="AI25" s="1187"/>
      <c r="AJ25" s="1187"/>
      <c r="AK25" s="1187"/>
      <c r="AL25" s="1187"/>
      <c r="AM25" s="1187"/>
      <c r="AN25" s="1187"/>
      <c r="AO25" s="1187"/>
      <c r="AP25" s="1187"/>
      <c r="AQ25" s="1187"/>
      <c r="AR25" s="1388">
        <v>0</v>
      </c>
    </row>
    <row r="26" spans="1:44" s="4284" customFormat="1" ht="17.25" hidden="1" customHeight="1">
      <c r="A26" s="259"/>
      <c r="C26" s="258"/>
      <c r="D26" s="5362"/>
      <c r="E26" s="5351"/>
      <c r="F26" s="5364"/>
      <c r="G26" s="5351"/>
      <c r="H26" s="5353"/>
      <c r="I26" s="5355"/>
      <c r="J26" s="5358"/>
      <c r="K26" s="5349"/>
      <c r="L26" s="1918"/>
      <c r="M26" s="1918"/>
      <c r="N26" s="1918"/>
      <c r="O26" s="1918"/>
      <c r="P26" s="1918"/>
      <c r="Q26" s="1918"/>
      <c r="R26" s="1918"/>
      <c r="S26" s="267"/>
      <c r="T26" s="267"/>
      <c r="U26" s="267"/>
      <c r="V26" s="267"/>
      <c r="W26" s="1919"/>
      <c r="X26" s="1187"/>
      <c r="Y26" s="1187"/>
      <c r="Z26" s="1187"/>
      <c r="AA26" s="1187"/>
      <c r="AB26" s="1187"/>
      <c r="AC26" s="1187"/>
      <c r="AD26" s="1187"/>
      <c r="AE26" s="1187"/>
      <c r="AF26" s="1187"/>
      <c r="AG26" s="1187"/>
      <c r="AH26" s="1187"/>
      <c r="AI26" s="1187"/>
      <c r="AJ26" s="1187"/>
      <c r="AK26" s="1187"/>
      <c r="AL26" s="1187"/>
      <c r="AM26" s="1187"/>
      <c r="AN26" s="1187"/>
      <c r="AO26" s="1187"/>
      <c r="AP26" s="1187"/>
      <c r="AQ26" s="1187"/>
      <c r="AR26" s="1388">
        <v>0</v>
      </c>
    </row>
    <row r="27" spans="1:44" s="4284" customFormat="1" ht="17.25" hidden="1" customHeight="1">
      <c r="A27" s="259"/>
      <c r="C27" s="258"/>
      <c r="D27" s="5362"/>
      <c r="E27" s="5351"/>
      <c r="F27" s="5365"/>
      <c r="G27" s="5351"/>
      <c r="H27" s="1220"/>
      <c r="I27" s="1916"/>
      <c r="J27" s="1916"/>
      <c r="K27" s="1916"/>
      <c r="L27" s="1916"/>
      <c r="M27" s="1916"/>
      <c r="N27" s="1916"/>
      <c r="O27" s="1916"/>
      <c r="P27" s="1916"/>
      <c r="Q27" s="1916"/>
      <c r="R27" s="1916"/>
      <c r="S27" s="1222"/>
      <c r="T27" s="1222"/>
      <c r="U27" s="1222"/>
      <c r="V27" s="1222"/>
      <c r="W27" s="1917"/>
      <c r="X27" s="1187"/>
      <c r="Y27" s="1187"/>
      <c r="Z27" s="1187"/>
      <c r="AA27" s="1187"/>
      <c r="AB27" s="1187"/>
      <c r="AC27" s="1187"/>
      <c r="AD27" s="1187"/>
      <c r="AE27" s="1187"/>
      <c r="AF27" s="1187"/>
      <c r="AG27" s="1187"/>
      <c r="AH27" s="1187"/>
      <c r="AI27" s="1187"/>
      <c r="AJ27" s="1187"/>
      <c r="AK27" s="1187"/>
      <c r="AL27" s="1187"/>
      <c r="AM27" s="1187"/>
      <c r="AN27" s="1187"/>
      <c r="AO27" s="1187"/>
      <c r="AP27" s="1187"/>
      <c r="AQ27" s="1187"/>
      <c r="AR27" s="1388">
        <v>0</v>
      </c>
    </row>
    <row r="28" spans="1:44" s="4284" customFormat="1" ht="17.25" hidden="1" customHeight="1">
      <c r="A28" s="259"/>
      <c r="C28" s="147"/>
      <c r="D28" s="5361">
        <v>3</v>
      </c>
      <c r="E28" s="5350" t="s">
        <v>197</v>
      </c>
      <c r="F28" s="5363" t="s">
        <v>19</v>
      </c>
      <c r="G28" s="5350"/>
      <c r="H28" s="5352"/>
      <c r="I28" s="5354"/>
      <c r="J28" s="5356"/>
      <c r="K28" s="5348"/>
      <c r="L28" s="5348"/>
      <c r="M28" s="5348"/>
      <c r="N28" s="5359"/>
      <c r="O28" s="5348"/>
      <c r="P28" s="5348"/>
      <c r="Q28" s="5348"/>
      <c r="R28" s="5346"/>
      <c r="S28" s="5348"/>
      <c r="T28" s="1341"/>
      <c r="U28" s="1341"/>
      <c r="V28" s="1340"/>
      <c r="W28" s="1217"/>
      <c r="X28" s="1188"/>
      <c r="Y28" s="1188"/>
      <c r="Z28" s="1188"/>
      <c r="AA28" s="1188"/>
      <c r="AB28" s="1188"/>
      <c r="AC28" s="1188" t="s">
        <v>198</v>
      </c>
      <c r="AD28" s="1188" t="s">
        <v>199</v>
      </c>
      <c r="AE28" s="1188" t="s">
        <v>200</v>
      </c>
      <c r="AF28" s="1188" t="s">
        <v>201</v>
      </c>
      <c r="AG28" s="1188" t="s">
        <v>202</v>
      </c>
      <c r="AH28" s="1188" t="str">
        <f>IF($E$28=0,"",$E$28)</f>
        <v>Тарифы на теплоноситель, поставляемый теплоснабжающими организациями потребителям, другим теплоснабжающим организациям</v>
      </c>
      <c r="AI28" s="1188" t="str">
        <f>IF($G$28=0,"",$G$28)</f>
        <v/>
      </c>
      <c r="AJ28" s="1188" t="str">
        <f>IF($J$28=0,"",$J$28)</f>
        <v/>
      </c>
      <c r="AK28" s="1188" t="str">
        <f>IF($K$28="нет","без дифференциации",IF($N$28=0,"",$N$28))</f>
        <v/>
      </c>
      <c r="AL28" s="1188" t="str">
        <f>IF($O$28="нет","без дифференциации",IF($R$28=0,"",$R$28))</f>
        <v/>
      </c>
      <c r="AM28" s="1188" t="str">
        <f>IF($S$28="нет","без дифференциации",IF($V$28=0,"",$V$28))</f>
        <v/>
      </c>
      <c r="AN28" s="1692">
        <f>$I$28</f>
        <v>0</v>
      </c>
      <c r="AO28" s="1188" t="str">
        <f>$I$28&amp;"."&amp;$M$28</f>
        <v>.</v>
      </c>
      <c r="AP28" s="1180" t="str">
        <f>$I$28&amp;"."&amp;$M$28&amp;"."&amp;$Q$28</f>
        <v>..</v>
      </c>
      <c r="AQ28" s="1180" t="str">
        <f>$I$28&amp;"."&amp;$M$28&amp;"."&amp;$Q$28&amp;"."&amp;$U$28</f>
        <v>...</v>
      </c>
      <c r="AR28" s="1204">
        <v>0</v>
      </c>
    </row>
    <row r="29" spans="1:44" s="4284" customFormat="1" ht="17.25" hidden="1" customHeight="1">
      <c r="A29" s="259"/>
      <c r="C29" s="258"/>
      <c r="D29" s="5361"/>
      <c r="E29" s="5350"/>
      <c r="F29" s="5364"/>
      <c r="G29" s="5350"/>
      <c r="H29" s="5353"/>
      <c r="I29" s="5355"/>
      <c r="J29" s="5357"/>
      <c r="K29" s="5349"/>
      <c r="L29" s="5349"/>
      <c r="M29" s="5349"/>
      <c r="N29" s="5360"/>
      <c r="O29" s="5349"/>
      <c r="P29" s="5349"/>
      <c r="Q29" s="5349"/>
      <c r="R29" s="5347"/>
      <c r="S29" s="5349"/>
      <c r="T29" s="1218"/>
      <c r="U29" s="1218"/>
      <c r="V29" s="1218"/>
      <c r="W29" s="1219"/>
      <c r="X29" s="1180"/>
      <c r="Y29" s="1180"/>
      <c r="Z29" s="1180"/>
      <c r="AA29" s="1180"/>
      <c r="AB29" s="1180"/>
      <c r="AC29" s="1180"/>
      <c r="AD29" s="1180"/>
      <c r="AE29" s="1180"/>
      <c r="AF29" s="1180"/>
      <c r="AG29" s="1180"/>
      <c r="AH29" s="1180"/>
      <c r="AI29" s="1180"/>
      <c r="AJ29" s="1180"/>
      <c r="AK29" s="1180"/>
      <c r="AL29" s="1180"/>
      <c r="AM29" s="1180"/>
      <c r="AN29" s="1180"/>
      <c r="AO29" s="1180"/>
      <c r="AP29" s="1180"/>
      <c r="AQ29" s="1180"/>
      <c r="AR29" s="1204">
        <v>0</v>
      </c>
    </row>
    <row r="30" spans="1:44" s="4284" customFormat="1" ht="17.25" hidden="1" customHeight="1">
      <c r="A30" s="259"/>
      <c r="C30" s="258"/>
      <c r="D30" s="5362"/>
      <c r="E30" s="5351"/>
      <c r="F30" s="5364"/>
      <c r="G30" s="5351"/>
      <c r="H30" s="5353"/>
      <c r="I30" s="5355"/>
      <c r="J30" s="5358"/>
      <c r="K30" s="5349"/>
      <c r="L30" s="5349"/>
      <c r="M30" s="5349"/>
      <c r="N30" s="5347"/>
      <c r="O30" s="5349"/>
      <c r="P30" s="1339"/>
      <c r="Q30" s="1218"/>
      <c r="R30" s="1218"/>
      <c r="S30" s="267"/>
      <c r="T30" s="267"/>
      <c r="U30" s="267"/>
      <c r="V30" s="267"/>
      <c r="W30" s="1219"/>
      <c r="X30" s="1180"/>
      <c r="Y30" s="1180"/>
      <c r="Z30" s="1180"/>
      <c r="AA30" s="1180"/>
      <c r="AB30" s="1180"/>
      <c r="AC30" s="1180"/>
      <c r="AD30" s="1180"/>
      <c r="AE30" s="1180"/>
      <c r="AF30" s="1180"/>
      <c r="AG30" s="1180"/>
      <c r="AH30" s="1180"/>
      <c r="AI30" s="1180"/>
      <c r="AJ30" s="1180"/>
      <c r="AK30" s="1180"/>
      <c r="AL30" s="1180"/>
      <c r="AM30" s="1180"/>
      <c r="AN30" s="1180"/>
      <c r="AO30" s="1180"/>
      <c r="AP30" s="1180"/>
      <c r="AQ30" s="1180"/>
      <c r="AR30" s="1204">
        <v>0</v>
      </c>
    </row>
    <row r="31" spans="1:44" s="4284" customFormat="1" ht="17.25" hidden="1" customHeight="1">
      <c r="A31" s="259"/>
      <c r="C31" s="258"/>
      <c r="D31" s="5362"/>
      <c r="E31" s="5351"/>
      <c r="F31" s="5364"/>
      <c r="G31" s="5351"/>
      <c r="H31" s="5353"/>
      <c r="I31" s="5355"/>
      <c r="J31" s="5358"/>
      <c r="K31" s="5349"/>
      <c r="L31" s="1218"/>
      <c r="M31" s="1218"/>
      <c r="N31" s="1218"/>
      <c r="O31" s="1218"/>
      <c r="P31" s="1218"/>
      <c r="Q31" s="1218"/>
      <c r="R31" s="1218"/>
      <c r="S31" s="267"/>
      <c r="T31" s="267"/>
      <c r="U31" s="267"/>
      <c r="V31" s="267"/>
      <c r="W31" s="1219"/>
      <c r="X31" s="1180"/>
      <c r="Y31" s="1180"/>
      <c r="Z31" s="1180"/>
      <c r="AA31" s="1180"/>
      <c r="AB31" s="1180"/>
      <c r="AC31" s="1180"/>
      <c r="AD31" s="1180"/>
      <c r="AE31" s="1180"/>
      <c r="AF31" s="1180"/>
      <c r="AG31" s="1180"/>
      <c r="AH31" s="1180"/>
      <c r="AI31" s="1180"/>
      <c r="AJ31" s="1180"/>
      <c r="AK31" s="1180"/>
      <c r="AL31" s="1180"/>
      <c r="AM31" s="1180"/>
      <c r="AN31" s="1180"/>
      <c r="AO31" s="1180"/>
      <c r="AP31" s="1180"/>
      <c r="AQ31" s="1180"/>
      <c r="AR31" s="1204">
        <v>0</v>
      </c>
    </row>
    <row r="32" spans="1:44" s="4284" customFormat="1" ht="17.25" hidden="1" customHeight="1">
      <c r="A32" s="259"/>
      <c r="C32" s="258"/>
      <c r="D32" s="5362"/>
      <c r="E32" s="5351"/>
      <c r="F32" s="5365"/>
      <c r="G32" s="5351"/>
      <c r="H32" s="1220"/>
      <c r="I32" s="1221"/>
      <c r="J32" s="1221"/>
      <c r="K32" s="1221"/>
      <c r="L32" s="1221"/>
      <c r="M32" s="1221"/>
      <c r="N32" s="1221"/>
      <c r="O32" s="1221"/>
      <c r="P32" s="1221"/>
      <c r="Q32" s="1221"/>
      <c r="R32" s="1221"/>
      <c r="S32" s="1222"/>
      <c r="T32" s="1222"/>
      <c r="U32" s="1222"/>
      <c r="V32" s="1222"/>
      <c r="W32" s="1223"/>
      <c r="X32" s="1180"/>
      <c r="Y32" s="1180"/>
      <c r="Z32" s="1180"/>
      <c r="AA32" s="1180"/>
      <c r="AB32" s="1180"/>
      <c r="AC32" s="1180"/>
      <c r="AD32" s="1180"/>
      <c r="AE32" s="1180"/>
      <c r="AF32" s="1180"/>
      <c r="AG32" s="1180"/>
      <c r="AH32" s="1180"/>
      <c r="AI32" s="1180"/>
      <c r="AJ32" s="1180"/>
      <c r="AK32" s="1180"/>
      <c r="AL32" s="1180"/>
      <c r="AM32" s="1180"/>
      <c r="AN32" s="1180"/>
      <c r="AO32" s="1180"/>
      <c r="AP32" s="1180"/>
      <c r="AQ32" s="1180"/>
      <c r="AR32" s="1204">
        <v>0</v>
      </c>
    </row>
    <row r="33" spans="1:44" s="4284" customFormat="1" ht="17.25" hidden="1" customHeight="1">
      <c r="A33" s="259"/>
      <c r="C33" s="147"/>
      <c r="D33" s="5361">
        <v>4</v>
      </c>
      <c r="E33" s="5350" t="s">
        <v>203</v>
      </c>
      <c r="F33" s="5363" t="s">
        <v>19</v>
      </c>
      <c r="G33" s="5350"/>
      <c r="H33" s="5352"/>
      <c r="I33" s="5354"/>
      <c r="J33" s="5356"/>
      <c r="K33" s="5348"/>
      <c r="L33" s="5348"/>
      <c r="M33" s="5348"/>
      <c r="N33" s="5359"/>
      <c r="O33" s="5348"/>
      <c r="P33" s="5348"/>
      <c r="Q33" s="5348"/>
      <c r="R33" s="5346"/>
      <c r="S33" s="5348"/>
      <c r="T33" s="1341"/>
      <c r="U33" s="1341"/>
      <c r="V33" s="1340"/>
      <c r="W33" s="1217"/>
      <c r="X33" s="1188"/>
      <c r="Y33" s="1188"/>
      <c r="Z33" s="1188"/>
      <c r="AA33" s="1188"/>
      <c r="AB33" s="1188"/>
      <c r="AC33" s="1188" t="s">
        <v>204</v>
      </c>
      <c r="AD33" s="1188" t="s">
        <v>205</v>
      </c>
      <c r="AE33" s="1188" t="s">
        <v>206</v>
      </c>
      <c r="AF33" s="1188" t="s">
        <v>207</v>
      </c>
      <c r="AG33" s="1188" t="s">
        <v>208</v>
      </c>
      <c r="AH33" s="1188"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8" t="str">
        <f>IF($G$33=0,"",$G$33)</f>
        <v/>
      </c>
      <c r="AJ33" s="1188" t="str">
        <f>IF($J$33=0,"",$J$33)</f>
        <v/>
      </c>
      <c r="AK33" s="1188" t="str">
        <f>IF($K$33="нет","без дифференциации",IF($N$33=0,"",$N$33))</f>
        <v/>
      </c>
      <c r="AL33" s="1188" t="str">
        <f>IF($O$33="нет","без дифференциации",IF($R$33=0,"",$R$33))</f>
        <v/>
      </c>
      <c r="AM33" s="1188" t="str">
        <f>IF($S$33="нет","без дифференциации",IF($V$33=0,"",$V$33))</f>
        <v/>
      </c>
      <c r="AN33" s="1692">
        <f>$I$33</f>
        <v>0</v>
      </c>
      <c r="AO33" s="1188" t="str">
        <f>$I$33&amp;"."&amp;$M$33</f>
        <v>.</v>
      </c>
      <c r="AP33" s="1180" t="str">
        <f>$I$33&amp;"."&amp;$M$33&amp;"."&amp;$Q$33</f>
        <v>..</v>
      </c>
      <c r="AQ33" s="1180" t="str">
        <f>$I$33&amp;"."&amp;$M$33&amp;"."&amp;$Q$33&amp;"."&amp;$U$33</f>
        <v>...</v>
      </c>
      <c r="AR33" s="1204">
        <v>0</v>
      </c>
    </row>
    <row r="34" spans="1:44" s="4284" customFormat="1" ht="17.25" hidden="1" customHeight="1">
      <c r="A34" s="259"/>
      <c r="C34" s="258"/>
      <c r="D34" s="5361"/>
      <c r="E34" s="5350"/>
      <c r="F34" s="5364"/>
      <c r="G34" s="5350"/>
      <c r="H34" s="5353"/>
      <c r="I34" s="5355"/>
      <c r="J34" s="5357"/>
      <c r="K34" s="5349"/>
      <c r="L34" s="5349"/>
      <c r="M34" s="5349"/>
      <c r="N34" s="5360"/>
      <c r="O34" s="5349"/>
      <c r="P34" s="5349"/>
      <c r="Q34" s="5349"/>
      <c r="R34" s="5347"/>
      <c r="S34" s="5349"/>
      <c r="T34" s="1218"/>
      <c r="U34" s="1218"/>
      <c r="V34" s="1218"/>
      <c r="W34" s="1219"/>
      <c r="X34" s="1180"/>
      <c r="Y34" s="1180"/>
      <c r="Z34" s="1180"/>
      <c r="AA34" s="1180"/>
      <c r="AB34" s="1180"/>
      <c r="AC34" s="1180"/>
      <c r="AD34" s="1180"/>
      <c r="AE34" s="1180"/>
      <c r="AF34" s="1180"/>
      <c r="AG34" s="1180"/>
      <c r="AH34" s="1180"/>
      <c r="AI34" s="1180"/>
      <c r="AJ34" s="1180"/>
      <c r="AK34" s="1180"/>
      <c r="AL34" s="1180"/>
      <c r="AM34" s="1180"/>
      <c r="AN34" s="1180"/>
      <c r="AO34" s="1180"/>
      <c r="AP34" s="1180"/>
      <c r="AQ34" s="1180"/>
      <c r="AR34" s="1204">
        <v>0</v>
      </c>
    </row>
    <row r="35" spans="1:44" s="4284" customFormat="1" ht="17.25" hidden="1" customHeight="1">
      <c r="A35" s="259"/>
      <c r="C35" s="258"/>
      <c r="D35" s="5362"/>
      <c r="E35" s="5351"/>
      <c r="F35" s="5364"/>
      <c r="G35" s="5351"/>
      <c r="H35" s="5353"/>
      <c r="I35" s="5355"/>
      <c r="J35" s="5358"/>
      <c r="K35" s="5349"/>
      <c r="L35" s="5349"/>
      <c r="M35" s="5349"/>
      <c r="N35" s="5347"/>
      <c r="O35" s="5349"/>
      <c r="P35" s="1339"/>
      <c r="Q35" s="1218"/>
      <c r="R35" s="1218"/>
      <c r="S35" s="267"/>
      <c r="T35" s="267"/>
      <c r="U35" s="267"/>
      <c r="V35" s="267"/>
      <c r="W35" s="1219"/>
      <c r="X35" s="1180"/>
      <c r="Y35" s="1180"/>
      <c r="Z35" s="1180"/>
      <c r="AA35" s="1180"/>
      <c r="AB35" s="1180"/>
      <c r="AC35" s="1180"/>
      <c r="AD35" s="1180"/>
      <c r="AE35" s="1180"/>
      <c r="AF35" s="1180"/>
      <c r="AG35" s="1180"/>
      <c r="AH35" s="1180"/>
      <c r="AI35" s="1180"/>
      <c r="AJ35" s="1180"/>
      <c r="AK35" s="1180"/>
      <c r="AL35" s="1180"/>
      <c r="AM35" s="1180"/>
      <c r="AN35" s="1180"/>
      <c r="AO35" s="1180"/>
      <c r="AP35" s="1180"/>
      <c r="AQ35" s="1180"/>
      <c r="AR35" s="1204">
        <v>0</v>
      </c>
    </row>
    <row r="36" spans="1:44" s="4284" customFormat="1" ht="17.25" hidden="1" customHeight="1">
      <c r="A36" s="259"/>
      <c r="C36" s="258"/>
      <c r="D36" s="5362"/>
      <c r="E36" s="5351"/>
      <c r="F36" s="5364"/>
      <c r="G36" s="5351"/>
      <c r="H36" s="5353"/>
      <c r="I36" s="5355"/>
      <c r="J36" s="5358"/>
      <c r="K36" s="5349"/>
      <c r="L36" s="1218"/>
      <c r="M36" s="1218"/>
      <c r="N36" s="1218"/>
      <c r="O36" s="1218"/>
      <c r="P36" s="1218"/>
      <c r="Q36" s="1218"/>
      <c r="R36" s="1218"/>
      <c r="S36" s="267"/>
      <c r="T36" s="267"/>
      <c r="U36" s="267"/>
      <c r="V36" s="267"/>
      <c r="W36" s="1219"/>
      <c r="X36" s="1180"/>
      <c r="Y36" s="1180"/>
      <c r="Z36" s="1180"/>
      <c r="AA36" s="1180"/>
      <c r="AB36" s="1180"/>
      <c r="AC36" s="1180"/>
      <c r="AD36" s="1180"/>
      <c r="AE36" s="1180"/>
      <c r="AF36" s="1180"/>
      <c r="AG36" s="1180"/>
      <c r="AH36" s="1180"/>
      <c r="AI36" s="1180"/>
      <c r="AJ36" s="1180"/>
      <c r="AK36" s="1180"/>
      <c r="AL36" s="1180"/>
      <c r="AM36" s="1180"/>
      <c r="AN36" s="1180"/>
      <c r="AO36" s="1180"/>
      <c r="AP36" s="1180"/>
      <c r="AQ36" s="1180"/>
      <c r="AR36" s="1204">
        <v>0</v>
      </c>
    </row>
    <row r="37" spans="1:44" s="4284" customFormat="1" ht="17.25" hidden="1" customHeight="1">
      <c r="A37" s="259"/>
      <c r="C37" s="258"/>
      <c r="D37" s="5362"/>
      <c r="E37" s="5351"/>
      <c r="F37" s="5365"/>
      <c r="G37" s="5351"/>
      <c r="H37" s="1220"/>
      <c r="I37" s="1221"/>
      <c r="J37" s="1221"/>
      <c r="K37" s="1221"/>
      <c r="L37" s="1221"/>
      <c r="M37" s="1221"/>
      <c r="N37" s="1221"/>
      <c r="O37" s="1221"/>
      <c r="P37" s="1221"/>
      <c r="Q37" s="1221"/>
      <c r="R37" s="1221"/>
      <c r="S37" s="1222"/>
      <c r="T37" s="1222"/>
      <c r="U37" s="1222"/>
      <c r="V37" s="1222"/>
      <c r="W37" s="1223"/>
      <c r="X37" s="1180"/>
      <c r="Y37" s="1180"/>
      <c r="Z37" s="1180"/>
      <c r="AA37" s="1180"/>
      <c r="AB37" s="1180"/>
      <c r="AC37" s="1180"/>
      <c r="AD37" s="1180"/>
      <c r="AE37" s="1180"/>
      <c r="AF37" s="1180"/>
      <c r="AG37" s="1180"/>
      <c r="AH37" s="1180"/>
      <c r="AI37" s="1180"/>
      <c r="AJ37" s="1180"/>
      <c r="AK37" s="1180"/>
      <c r="AL37" s="1180"/>
      <c r="AM37" s="1180"/>
      <c r="AN37" s="1180"/>
      <c r="AO37" s="1180"/>
      <c r="AP37" s="1180"/>
      <c r="AQ37" s="1180"/>
      <c r="AR37" s="1204">
        <v>0</v>
      </c>
    </row>
    <row r="38" spans="1:44" s="4284" customFormat="1" ht="17.25" hidden="1" customHeight="1">
      <c r="A38" s="259"/>
      <c r="C38" s="147"/>
      <c r="D38" s="5361">
        <v>5</v>
      </c>
      <c r="E38" s="5350" t="s">
        <v>209</v>
      </c>
      <c r="F38" s="5363" t="s">
        <v>19</v>
      </c>
      <c r="G38" s="5350"/>
      <c r="H38" s="5352"/>
      <c r="I38" s="5354"/>
      <c r="J38" s="5356"/>
      <c r="K38" s="5348"/>
      <c r="L38" s="5348"/>
      <c r="M38" s="5348"/>
      <c r="N38" s="5359"/>
      <c r="O38" s="5348"/>
      <c r="P38" s="5348"/>
      <c r="Q38" s="5348"/>
      <c r="R38" s="5346"/>
      <c r="S38" s="5348"/>
      <c r="T38" s="1341"/>
      <c r="U38" s="1341"/>
      <c r="V38" s="1340"/>
      <c r="W38" s="1217"/>
      <c r="X38" s="1188"/>
      <c r="Y38" s="1188"/>
      <c r="Z38" s="1188"/>
      <c r="AA38" s="1188"/>
      <c r="AB38" s="1188"/>
      <c r="AC38" s="1188" t="s">
        <v>210</v>
      </c>
      <c r="AD38" s="1188" t="s">
        <v>211</v>
      </c>
      <c r="AE38" s="1188" t="s">
        <v>212</v>
      </c>
      <c r="AF38" s="1188" t="s">
        <v>213</v>
      </c>
      <c r="AG38" s="1188" t="s">
        <v>214</v>
      </c>
      <c r="AH38" s="1188" t="str">
        <f>IF($E$38=0,"",$E$38)</f>
        <v>Тарифы на услуги по передаче тепловой энергии</v>
      </c>
      <c r="AI38" s="1188" t="str">
        <f>IF($G$38=0,"",$G$38)</f>
        <v/>
      </c>
      <c r="AJ38" s="1188" t="str">
        <f>IF($J$38=0,"",$J$38)</f>
        <v/>
      </c>
      <c r="AK38" s="1188" t="str">
        <f>IF($K$38="нет","без дифференциации",IF($N$38=0,"",$N$38))</f>
        <v/>
      </c>
      <c r="AL38" s="1188" t="str">
        <f>IF($O$38="нет","без дифференциации",IF($R$38=0,"",$R$38))</f>
        <v/>
      </c>
      <c r="AM38" s="1188" t="str">
        <f>IF($S$38="нет","без дифференциации",IF($V$38=0,"",$V$38))</f>
        <v/>
      </c>
      <c r="AN38" s="1692">
        <f>$I$38</f>
        <v>0</v>
      </c>
      <c r="AO38" s="1188" t="str">
        <f>$I$38&amp;"."&amp;$M$38</f>
        <v>.</v>
      </c>
      <c r="AP38" s="1180" t="str">
        <f>$I$38&amp;"."&amp;$M$38&amp;"."&amp;$Q$38</f>
        <v>..</v>
      </c>
      <c r="AQ38" s="1180" t="str">
        <f>$I$38&amp;"."&amp;$M$38&amp;"."&amp;$Q$38&amp;"."&amp;$U$38</f>
        <v>...</v>
      </c>
      <c r="AR38" s="1204">
        <v>0</v>
      </c>
    </row>
    <row r="39" spans="1:44" s="4284" customFormat="1" ht="17.25" hidden="1" customHeight="1">
      <c r="A39" s="259"/>
      <c r="C39" s="258"/>
      <c r="D39" s="5361"/>
      <c r="E39" s="5350"/>
      <c r="F39" s="5364"/>
      <c r="G39" s="5350"/>
      <c r="H39" s="5353"/>
      <c r="I39" s="5355"/>
      <c r="J39" s="5357"/>
      <c r="K39" s="5349"/>
      <c r="L39" s="5349"/>
      <c r="M39" s="5349"/>
      <c r="N39" s="5360"/>
      <c r="O39" s="5349"/>
      <c r="P39" s="5349"/>
      <c r="Q39" s="5349"/>
      <c r="R39" s="5347"/>
      <c r="S39" s="5349"/>
      <c r="T39" s="1218"/>
      <c r="U39" s="1218"/>
      <c r="V39" s="1218"/>
      <c r="W39" s="1219"/>
      <c r="X39" s="1180"/>
      <c r="Y39" s="1180"/>
      <c r="Z39" s="1180"/>
      <c r="AA39" s="1180"/>
      <c r="AB39" s="1180"/>
      <c r="AC39" s="1180"/>
      <c r="AD39" s="1180"/>
      <c r="AE39" s="1180"/>
      <c r="AF39" s="1180"/>
      <c r="AG39" s="1180"/>
      <c r="AH39" s="1180"/>
      <c r="AI39" s="1180"/>
      <c r="AJ39" s="1180"/>
      <c r="AK39" s="1180"/>
      <c r="AL39" s="1180"/>
      <c r="AM39" s="1180"/>
      <c r="AN39" s="1180"/>
      <c r="AO39" s="1180"/>
      <c r="AP39" s="1180"/>
      <c r="AQ39" s="1180"/>
      <c r="AR39" s="1204">
        <v>0</v>
      </c>
    </row>
    <row r="40" spans="1:44" s="4284" customFormat="1" ht="17.25" hidden="1" customHeight="1">
      <c r="A40" s="259"/>
      <c r="C40" s="258"/>
      <c r="D40" s="5362"/>
      <c r="E40" s="5351"/>
      <c r="F40" s="5364"/>
      <c r="G40" s="5351"/>
      <c r="H40" s="5353"/>
      <c r="I40" s="5355"/>
      <c r="J40" s="5358"/>
      <c r="K40" s="5349"/>
      <c r="L40" s="5349"/>
      <c r="M40" s="5349"/>
      <c r="N40" s="5347"/>
      <c r="O40" s="5349"/>
      <c r="P40" s="1339"/>
      <c r="Q40" s="1218"/>
      <c r="R40" s="1218"/>
      <c r="S40" s="267"/>
      <c r="T40" s="267"/>
      <c r="U40" s="267"/>
      <c r="V40" s="267"/>
      <c r="W40" s="1219"/>
      <c r="X40" s="1180"/>
      <c r="Y40" s="1180"/>
      <c r="Z40" s="1180"/>
      <c r="AA40" s="1180"/>
      <c r="AB40" s="1180"/>
      <c r="AC40" s="1180"/>
      <c r="AD40" s="1180"/>
      <c r="AE40" s="1180"/>
      <c r="AF40" s="1180"/>
      <c r="AG40" s="1180"/>
      <c r="AH40" s="1180"/>
      <c r="AI40" s="1180"/>
      <c r="AJ40" s="1180"/>
      <c r="AK40" s="1180"/>
      <c r="AL40" s="1180"/>
      <c r="AM40" s="1180"/>
      <c r="AN40" s="1180"/>
      <c r="AO40" s="1180"/>
      <c r="AP40" s="1180"/>
      <c r="AQ40" s="1180"/>
      <c r="AR40" s="1204">
        <v>0</v>
      </c>
    </row>
    <row r="41" spans="1:44" s="4284" customFormat="1" ht="17.25" hidden="1" customHeight="1">
      <c r="A41" s="259"/>
      <c r="C41" s="258"/>
      <c r="D41" s="5362"/>
      <c r="E41" s="5351"/>
      <c r="F41" s="5364"/>
      <c r="G41" s="5351"/>
      <c r="H41" s="5353"/>
      <c r="I41" s="5355"/>
      <c r="J41" s="5358"/>
      <c r="K41" s="5349"/>
      <c r="L41" s="1218"/>
      <c r="M41" s="1218"/>
      <c r="N41" s="1218"/>
      <c r="O41" s="1218"/>
      <c r="P41" s="1218"/>
      <c r="Q41" s="1218"/>
      <c r="R41" s="1218"/>
      <c r="S41" s="267"/>
      <c r="T41" s="267"/>
      <c r="U41" s="267"/>
      <c r="V41" s="267"/>
      <c r="W41" s="1219"/>
      <c r="X41" s="1180"/>
      <c r="Y41" s="1180"/>
      <c r="Z41" s="1180"/>
      <c r="AA41" s="1180"/>
      <c r="AB41" s="1180"/>
      <c r="AC41" s="1180"/>
      <c r="AD41" s="1180"/>
      <c r="AE41" s="1180"/>
      <c r="AF41" s="1180"/>
      <c r="AG41" s="1180"/>
      <c r="AH41" s="1180"/>
      <c r="AI41" s="1180"/>
      <c r="AJ41" s="1180"/>
      <c r="AK41" s="1180"/>
      <c r="AL41" s="1180"/>
      <c r="AM41" s="1180"/>
      <c r="AN41" s="1180"/>
      <c r="AO41" s="1180"/>
      <c r="AP41" s="1180"/>
      <c r="AQ41" s="1180"/>
      <c r="AR41" s="1204">
        <v>0</v>
      </c>
    </row>
    <row r="42" spans="1:44" s="4284" customFormat="1" ht="17.25" hidden="1" customHeight="1">
      <c r="A42" s="259"/>
      <c r="C42" s="258"/>
      <c r="D42" s="5362"/>
      <c r="E42" s="5351"/>
      <c r="F42" s="5365"/>
      <c r="G42" s="5351"/>
      <c r="H42" s="1220"/>
      <c r="I42" s="1221"/>
      <c r="J42" s="1221"/>
      <c r="K42" s="1221"/>
      <c r="L42" s="1221"/>
      <c r="M42" s="1221"/>
      <c r="N42" s="1221"/>
      <c r="O42" s="1221"/>
      <c r="P42" s="1221"/>
      <c r="Q42" s="1221"/>
      <c r="R42" s="1221"/>
      <c r="S42" s="1222"/>
      <c r="T42" s="1222"/>
      <c r="U42" s="1222"/>
      <c r="V42" s="1222"/>
      <c r="W42" s="1223"/>
      <c r="X42" s="1180"/>
      <c r="Y42" s="1180"/>
      <c r="Z42" s="1180"/>
      <c r="AA42" s="1180"/>
      <c r="AB42" s="1180"/>
      <c r="AC42" s="1180"/>
      <c r="AD42" s="1180"/>
      <c r="AE42" s="1180"/>
      <c r="AF42" s="1180"/>
      <c r="AG42" s="1180"/>
      <c r="AH42" s="1180"/>
      <c r="AI42" s="1180"/>
      <c r="AJ42" s="1180"/>
      <c r="AK42" s="1180"/>
      <c r="AL42" s="1180"/>
      <c r="AM42" s="1180"/>
      <c r="AN42" s="1180"/>
      <c r="AO42" s="1180"/>
      <c r="AP42" s="1180"/>
      <c r="AQ42" s="1180"/>
      <c r="AR42" s="1204">
        <v>0</v>
      </c>
    </row>
    <row r="43" spans="1:44" s="4284" customFormat="1" ht="17.25" hidden="1" customHeight="1">
      <c r="A43" s="259"/>
      <c r="C43" s="147"/>
      <c r="D43" s="5361">
        <v>6</v>
      </c>
      <c r="E43" s="5350" t="s">
        <v>215</v>
      </c>
      <c r="F43" s="5363" t="s">
        <v>19</v>
      </c>
      <c r="G43" s="5350"/>
      <c r="H43" s="5352"/>
      <c r="I43" s="5354"/>
      <c r="J43" s="5356"/>
      <c r="K43" s="5348"/>
      <c r="L43" s="5348"/>
      <c r="M43" s="5348"/>
      <c r="N43" s="5359"/>
      <c r="O43" s="5348"/>
      <c r="P43" s="5348"/>
      <c r="Q43" s="5348"/>
      <c r="R43" s="5346"/>
      <c r="S43" s="5348"/>
      <c r="T43" s="1341"/>
      <c r="U43" s="1341"/>
      <c r="V43" s="1340"/>
      <c r="W43" s="1217"/>
      <c r="X43" s="1188"/>
      <c r="Y43" s="1188"/>
      <c r="Z43" s="1188"/>
      <c r="AA43" s="1188"/>
      <c r="AB43" s="1188"/>
      <c r="AC43" s="1188" t="s">
        <v>216</v>
      </c>
      <c r="AD43" s="1188" t="s">
        <v>217</v>
      </c>
      <c r="AE43" s="1188" t="s">
        <v>218</v>
      </c>
      <c r="AF43" s="1188" t="s">
        <v>219</v>
      </c>
      <c r="AG43" s="1188" t="s">
        <v>220</v>
      </c>
      <c r="AH43" s="1188" t="str">
        <f>IF($E$43=0,"",$E$43)</f>
        <v>Тарифы на услуги по передаче теплоносителя</v>
      </c>
      <c r="AI43" s="1188" t="str">
        <f>IF($G$43=0,"",$G$43)</f>
        <v/>
      </c>
      <c r="AJ43" s="1188" t="str">
        <f>IF($J$43=0,"",$J$43)</f>
        <v/>
      </c>
      <c r="AK43" s="1188" t="str">
        <f>IF($K$43="нет","без дифференциации",IF($N$43=0,"",$N$43))</f>
        <v/>
      </c>
      <c r="AL43" s="1188" t="str">
        <f>IF($O$43="нет","без дифференциации",IF($R$43=0,"",$R$43))</f>
        <v/>
      </c>
      <c r="AM43" s="1188" t="str">
        <f>IF($S$43="нет","без дифференциации",IF($V$43=0,"",$V$43))</f>
        <v/>
      </c>
      <c r="AN43" s="1692">
        <f>$I$43</f>
        <v>0</v>
      </c>
      <c r="AO43" s="1188" t="str">
        <f>$I$43&amp;"."&amp;$M$43</f>
        <v>.</v>
      </c>
      <c r="AP43" s="1180" t="str">
        <f>$I$43&amp;"."&amp;$M$43&amp;"."&amp;$Q$43</f>
        <v>..</v>
      </c>
      <c r="AQ43" s="1180" t="str">
        <f>$I$43&amp;"."&amp;$M$43&amp;"."&amp;$Q$43&amp;"."&amp;$U$43</f>
        <v>...</v>
      </c>
      <c r="AR43" s="1204">
        <v>0</v>
      </c>
    </row>
    <row r="44" spans="1:44" s="4284" customFormat="1" ht="17.25" hidden="1" customHeight="1">
      <c r="A44" s="259"/>
      <c r="C44" s="258"/>
      <c r="D44" s="5361"/>
      <c r="E44" s="5350"/>
      <c r="F44" s="5364"/>
      <c r="G44" s="5350"/>
      <c r="H44" s="5353"/>
      <c r="I44" s="5355"/>
      <c r="J44" s="5357"/>
      <c r="K44" s="5349"/>
      <c r="L44" s="5349"/>
      <c r="M44" s="5349"/>
      <c r="N44" s="5360"/>
      <c r="O44" s="5349"/>
      <c r="P44" s="5349"/>
      <c r="Q44" s="5349"/>
      <c r="R44" s="5347"/>
      <c r="S44" s="5349"/>
      <c r="T44" s="1218"/>
      <c r="U44" s="1218"/>
      <c r="V44" s="1218"/>
      <c r="W44" s="1219"/>
      <c r="X44" s="1180"/>
      <c r="Y44" s="1180"/>
      <c r="Z44" s="1180"/>
      <c r="AA44" s="1180"/>
      <c r="AB44" s="1180"/>
      <c r="AC44" s="1180"/>
      <c r="AD44" s="1180"/>
      <c r="AE44" s="1180"/>
      <c r="AF44" s="1180"/>
      <c r="AG44" s="1180"/>
      <c r="AH44" s="1180"/>
      <c r="AI44" s="1180"/>
      <c r="AJ44" s="1180"/>
      <c r="AK44" s="1180"/>
      <c r="AL44" s="1180"/>
      <c r="AM44" s="1180"/>
      <c r="AN44" s="1180"/>
      <c r="AO44" s="1180"/>
      <c r="AP44" s="1180"/>
      <c r="AQ44" s="1180"/>
      <c r="AR44" s="1204">
        <v>0</v>
      </c>
    </row>
    <row r="45" spans="1:44" s="4284" customFormat="1" ht="17.25" hidden="1" customHeight="1">
      <c r="A45" s="259"/>
      <c r="C45" s="258"/>
      <c r="D45" s="5362"/>
      <c r="E45" s="5351"/>
      <c r="F45" s="5364"/>
      <c r="G45" s="5351"/>
      <c r="H45" s="5353"/>
      <c r="I45" s="5355"/>
      <c r="J45" s="5358"/>
      <c r="K45" s="5349"/>
      <c r="L45" s="5349"/>
      <c r="M45" s="5349"/>
      <c r="N45" s="5347"/>
      <c r="O45" s="5349"/>
      <c r="P45" s="1339"/>
      <c r="Q45" s="1218"/>
      <c r="R45" s="1218"/>
      <c r="S45" s="267"/>
      <c r="T45" s="267"/>
      <c r="U45" s="267"/>
      <c r="V45" s="267"/>
      <c r="W45" s="1219"/>
      <c r="X45" s="1180"/>
      <c r="Y45" s="1180"/>
      <c r="Z45" s="1180"/>
      <c r="AA45" s="1180"/>
      <c r="AB45" s="1180"/>
      <c r="AC45" s="1180"/>
      <c r="AD45" s="1180"/>
      <c r="AE45" s="1180"/>
      <c r="AF45" s="1180"/>
      <c r="AG45" s="1180"/>
      <c r="AH45" s="1180"/>
      <c r="AI45" s="1180"/>
      <c r="AJ45" s="1180"/>
      <c r="AK45" s="1180"/>
      <c r="AL45" s="1180"/>
      <c r="AM45" s="1180"/>
      <c r="AN45" s="1180"/>
      <c r="AO45" s="1180"/>
      <c r="AP45" s="1180"/>
      <c r="AQ45" s="1180"/>
      <c r="AR45" s="1204">
        <v>0</v>
      </c>
    </row>
    <row r="46" spans="1:44" s="4284" customFormat="1" ht="17.25" hidden="1" customHeight="1">
      <c r="A46" s="259"/>
      <c r="C46" s="147"/>
      <c r="D46" s="5362"/>
      <c r="E46" s="5351"/>
      <c r="F46" s="5364"/>
      <c r="G46" s="5351"/>
      <c r="H46" s="5353"/>
      <c r="I46" s="5355"/>
      <c r="J46" s="5358"/>
      <c r="K46" s="5349"/>
      <c r="L46" s="1218"/>
      <c r="M46" s="1218"/>
      <c r="N46" s="1218"/>
      <c r="O46" s="1218"/>
      <c r="P46" s="1218"/>
      <c r="Q46" s="1218"/>
      <c r="R46" s="1218"/>
      <c r="S46" s="267"/>
      <c r="T46" s="267"/>
      <c r="U46" s="267"/>
      <c r="V46" s="267"/>
      <c r="W46" s="1219"/>
      <c r="Y46" s="1188"/>
      <c r="Z46" s="1188"/>
      <c r="AA46" s="1188"/>
      <c r="AB46" s="1188"/>
      <c r="AC46" s="1188"/>
      <c r="AD46" s="1188"/>
      <c r="AE46" s="1188"/>
      <c r="AF46" s="1188"/>
      <c r="AG46" s="1188"/>
      <c r="AH46" s="1188"/>
      <c r="AI46" s="1188"/>
      <c r="AJ46" s="1188"/>
      <c r="AK46" s="1188"/>
      <c r="AL46" s="1188"/>
      <c r="AM46" s="1188"/>
      <c r="AN46" s="1188"/>
      <c r="AO46" s="1188"/>
      <c r="AP46" s="1188"/>
      <c r="AQ46" s="1188"/>
      <c r="AR46" s="1247">
        <v>0</v>
      </c>
    </row>
    <row r="47" spans="1:44" s="4284" customFormat="1" ht="17.25" hidden="1" customHeight="1">
      <c r="A47" s="259"/>
      <c r="C47" s="258"/>
      <c r="D47" s="5362"/>
      <c r="E47" s="5351"/>
      <c r="F47" s="5365"/>
      <c r="G47" s="5351"/>
      <c r="H47" s="1220"/>
      <c r="I47" s="1221"/>
      <c r="J47" s="1221"/>
      <c r="K47" s="1221"/>
      <c r="L47" s="1221"/>
      <c r="M47" s="1221"/>
      <c r="N47" s="1221"/>
      <c r="O47" s="1221"/>
      <c r="P47" s="1221"/>
      <c r="Q47" s="1221"/>
      <c r="R47" s="1221"/>
      <c r="S47" s="1222"/>
      <c r="T47" s="1222"/>
      <c r="U47" s="1222"/>
      <c r="V47" s="1222"/>
      <c r="W47" s="1223"/>
      <c r="X47" s="1180"/>
      <c r="Y47" s="1180"/>
      <c r="Z47" s="1180"/>
      <c r="AA47" s="1180"/>
      <c r="AB47" s="1180"/>
      <c r="AC47" s="1180"/>
      <c r="AD47" s="1180"/>
      <c r="AE47" s="1180"/>
      <c r="AF47" s="1180"/>
      <c r="AG47" s="1180"/>
      <c r="AH47" s="1180"/>
      <c r="AI47" s="1180"/>
      <c r="AJ47" s="1180"/>
      <c r="AK47" s="1180"/>
      <c r="AL47" s="1180"/>
      <c r="AM47" s="1180"/>
      <c r="AN47" s="1180"/>
      <c r="AO47" s="1180"/>
      <c r="AP47" s="1180"/>
      <c r="AQ47" s="1180"/>
      <c r="AR47" s="1204">
        <v>0</v>
      </c>
    </row>
    <row r="48" spans="1:44" s="4284" customFormat="1" ht="17.25" hidden="1" customHeight="1">
      <c r="A48" s="259"/>
      <c r="C48" s="147"/>
      <c r="D48" s="5374">
        <v>7</v>
      </c>
      <c r="E48" s="5377" t="s">
        <v>221</v>
      </c>
      <c r="F48" s="5363" t="s">
        <v>19</v>
      </c>
      <c r="G48" s="5377"/>
      <c r="H48" s="5352"/>
      <c r="I48" s="5354"/>
      <c r="J48" s="5356"/>
      <c r="K48" s="5348"/>
      <c r="L48" s="5348"/>
      <c r="M48" s="5348"/>
      <c r="N48" s="5359"/>
      <c r="O48" s="5348"/>
      <c r="P48" s="5348"/>
      <c r="Q48" s="5348"/>
      <c r="R48" s="5346"/>
      <c r="S48" s="5348"/>
      <c r="T48" s="1341"/>
      <c r="U48" s="1341"/>
      <c r="V48" s="1340"/>
      <c r="W48" s="1217"/>
      <c r="X48" s="1188"/>
      <c r="Y48" s="1188"/>
      <c r="Z48" s="1188"/>
      <c r="AA48" s="1188"/>
      <c r="AB48" s="1188"/>
      <c r="AC48" s="1188" t="s">
        <v>222</v>
      </c>
      <c r="AD48" s="1188" t="s">
        <v>223</v>
      </c>
      <c r="AE48" s="1188" t="s">
        <v>224</v>
      </c>
      <c r="AF48" s="1188" t="s">
        <v>225</v>
      </c>
      <c r="AG48" s="1188" t="s">
        <v>226</v>
      </c>
      <c r="AH48" s="1188" t="str">
        <f>IF($E$48=0,"",$E$48)</f>
        <v>Плата за услуги по поддержанию резервной тепловой мощности при отсутствии потребления тепловой энергии</v>
      </c>
      <c r="AI48" s="1188" t="str">
        <f>IF($G$48=0,"",$G$48)</f>
        <v/>
      </c>
      <c r="AJ48" s="1188" t="str">
        <f>IF($J$48=0,"",$J$48)</f>
        <v/>
      </c>
      <c r="AK48" s="1188" t="str">
        <f>IF($K$48="нет","без дифференциации",IF($N$48=0,"",$N$48))</f>
        <v/>
      </c>
      <c r="AL48" s="1188" t="str">
        <f>IF($O$48="нет","без дифференциации",IF($R$48=0,"",$R$48))</f>
        <v/>
      </c>
      <c r="AM48" s="1188" t="str">
        <f>IF($S$48="нет","без дифференциации",IF($V$48=0,"",$V$48))</f>
        <v/>
      </c>
      <c r="AN48" s="1692">
        <f>$I$48</f>
        <v>0</v>
      </c>
      <c r="AO48" s="1188" t="str">
        <f>$I$48&amp;"."&amp;$M$48</f>
        <v>.</v>
      </c>
      <c r="AP48" s="1180" t="str">
        <f>$I$48&amp;"."&amp;$M$48&amp;"."&amp;$Q$48</f>
        <v>..</v>
      </c>
      <c r="AQ48" s="1180" t="str">
        <f>$I$48&amp;"."&amp;$M$48&amp;"."&amp;$Q$48&amp;"."&amp;$U$48</f>
        <v>...</v>
      </c>
      <c r="AR48" s="1229">
        <v>0</v>
      </c>
    </row>
    <row r="49" spans="1:44" s="4284" customFormat="1" ht="17.25" hidden="1" customHeight="1">
      <c r="A49" s="259"/>
      <c r="C49" s="258"/>
      <c r="D49" s="5375"/>
      <c r="E49" s="5378"/>
      <c r="F49" s="5364"/>
      <c r="G49" s="5378"/>
      <c r="H49" s="5353"/>
      <c r="I49" s="5355"/>
      <c r="J49" s="5357"/>
      <c r="K49" s="5349"/>
      <c r="L49" s="5349"/>
      <c r="M49" s="5349"/>
      <c r="N49" s="5360"/>
      <c r="O49" s="5349"/>
      <c r="P49" s="5349"/>
      <c r="Q49" s="5349"/>
      <c r="R49" s="5347"/>
      <c r="S49" s="5349"/>
      <c r="T49" s="1218"/>
      <c r="U49" s="1218"/>
      <c r="V49" s="1218"/>
      <c r="W49" s="1219"/>
      <c r="X49" s="1180"/>
      <c r="Y49" s="1180"/>
      <c r="Z49" s="1180"/>
      <c r="AA49" s="1180"/>
      <c r="AB49" s="1180"/>
      <c r="AC49" s="1180"/>
      <c r="AD49" s="1180"/>
      <c r="AE49" s="1180"/>
      <c r="AF49" s="1180"/>
      <c r="AG49" s="1180"/>
      <c r="AH49" s="1180"/>
      <c r="AI49" s="1180"/>
      <c r="AJ49" s="1180"/>
      <c r="AK49" s="1180"/>
      <c r="AL49" s="1180"/>
      <c r="AM49" s="1180"/>
      <c r="AN49" s="1180"/>
      <c r="AO49" s="1180"/>
      <c r="AP49" s="1180"/>
      <c r="AQ49" s="1180"/>
      <c r="AR49" s="1229">
        <v>0</v>
      </c>
    </row>
    <row r="50" spans="1:44" s="4284" customFormat="1" ht="17.25" hidden="1" customHeight="1">
      <c r="A50" s="259"/>
      <c r="C50" s="258"/>
      <c r="D50" s="5375"/>
      <c r="E50" s="5378"/>
      <c r="F50" s="5364"/>
      <c r="G50" s="5378"/>
      <c r="H50" s="5353"/>
      <c r="I50" s="5355"/>
      <c r="J50" s="5358"/>
      <c r="K50" s="5349"/>
      <c r="L50" s="5349"/>
      <c r="M50" s="5349"/>
      <c r="N50" s="5347"/>
      <c r="O50" s="5349"/>
      <c r="P50" s="1339"/>
      <c r="Q50" s="1218"/>
      <c r="R50" s="1218"/>
      <c r="S50" s="267"/>
      <c r="T50" s="267"/>
      <c r="U50" s="267"/>
      <c r="V50" s="267"/>
      <c r="W50" s="1219"/>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229">
        <v>0</v>
      </c>
    </row>
    <row r="51" spans="1:44" s="4284" customFormat="1" ht="17.25" hidden="1" customHeight="1">
      <c r="A51" s="259"/>
      <c r="C51" s="147"/>
      <c r="D51" s="5375"/>
      <c r="E51" s="5378"/>
      <c r="F51" s="5364"/>
      <c r="G51" s="5378"/>
      <c r="H51" s="5353"/>
      <c r="I51" s="5355"/>
      <c r="J51" s="5358"/>
      <c r="K51" s="5349"/>
      <c r="L51" s="1218"/>
      <c r="M51" s="1218"/>
      <c r="N51" s="1218"/>
      <c r="O51" s="1218"/>
      <c r="P51" s="1218"/>
      <c r="Q51" s="1218"/>
      <c r="R51" s="1218"/>
      <c r="S51" s="267"/>
      <c r="T51" s="267"/>
      <c r="U51" s="267"/>
      <c r="V51" s="267"/>
      <c r="W51" s="1219"/>
      <c r="Y51" s="1188"/>
      <c r="Z51" s="1188"/>
      <c r="AA51" s="1188"/>
      <c r="AB51" s="1188"/>
      <c r="AC51" s="1188"/>
      <c r="AD51" s="1188"/>
      <c r="AE51" s="1188"/>
      <c r="AF51" s="1188"/>
      <c r="AG51" s="1188"/>
      <c r="AH51" s="1188"/>
      <c r="AI51" s="1188"/>
      <c r="AJ51" s="1188"/>
      <c r="AK51" s="1188"/>
      <c r="AL51" s="1188"/>
      <c r="AM51" s="1188"/>
      <c r="AN51" s="1188"/>
      <c r="AO51" s="1188"/>
      <c r="AP51" s="1188"/>
      <c r="AQ51" s="1188"/>
      <c r="AR51" s="1247">
        <v>0</v>
      </c>
    </row>
    <row r="52" spans="1:44" s="4284" customFormat="1" ht="17.25" hidden="1" customHeight="1">
      <c r="A52" s="259"/>
      <c r="C52" s="258"/>
      <c r="D52" s="5376"/>
      <c r="E52" s="5379"/>
      <c r="F52" s="5365"/>
      <c r="G52" s="5379"/>
      <c r="H52" s="1220"/>
      <c r="I52" s="1221"/>
      <c r="J52" s="1221"/>
      <c r="K52" s="1221"/>
      <c r="L52" s="1221"/>
      <c r="M52" s="1221"/>
      <c r="N52" s="1221"/>
      <c r="O52" s="1221"/>
      <c r="P52" s="1221"/>
      <c r="Q52" s="1221"/>
      <c r="R52" s="1221"/>
      <c r="S52" s="1222"/>
      <c r="T52" s="1222"/>
      <c r="U52" s="1222"/>
      <c r="V52" s="1222"/>
      <c r="W52" s="1223"/>
      <c r="X52" s="1180"/>
      <c r="Y52" s="1180"/>
      <c r="Z52" s="1180"/>
      <c r="AA52" s="1180"/>
      <c r="AB52" s="1180"/>
      <c r="AC52" s="1180"/>
      <c r="AD52" s="1180"/>
      <c r="AE52" s="1180"/>
      <c r="AF52" s="1180"/>
      <c r="AG52" s="1180"/>
      <c r="AH52" s="1180"/>
      <c r="AI52" s="1180"/>
      <c r="AJ52" s="1180"/>
      <c r="AK52" s="1180"/>
      <c r="AL52" s="1180"/>
      <c r="AM52" s="1180"/>
      <c r="AN52" s="1180"/>
      <c r="AO52" s="1180"/>
      <c r="AP52" s="1180"/>
      <c r="AQ52" s="1180"/>
      <c r="AR52" s="1229">
        <v>0</v>
      </c>
    </row>
    <row r="53" spans="1:44" s="4284" customFormat="1" ht="17.25" hidden="1" customHeight="1">
      <c r="A53" s="259"/>
      <c r="C53" s="147"/>
      <c r="D53" s="5361">
        <v>8</v>
      </c>
      <c r="E53" s="5350" t="s">
        <v>227</v>
      </c>
      <c r="F53" s="5363" t="s">
        <v>19</v>
      </c>
      <c r="G53" s="5350"/>
      <c r="H53" s="5352"/>
      <c r="I53" s="5354"/>
      <c r="J53" s="5356"/>
      <c r="K53" s="5348"/>
      <c r="L53" s="5348"/>
      <c r="M53" s="5348"/>
      <c r="N53" s="5359"/>
      <c r="O53" s="5348"/>
      <c r="P53" s="5348"/>
      <c r="Q53" s="5348"/>
      <c r="R53" s="5346"/>
      <c r="S53" s="5348"/>
      <c r="T53" s="1391"/>
      <c r="U53" s="1391"/>
      <c r="V53" s="1393"/>
      <c r="W53" s="1217"/>
      <c r="X53" s="1188"/>
      <c r="Y53" s="1188"/>
      <c r="Z53" s="1188"/>
      <c r="AA53" s="1188"/>
      <c r="AB53" s="1188"/>
      <c r="AC53" s="1188" t="s">
        <v>228</v>
      </c>
      <c r="AD53" s="1188" t="s">
        <v>229</v>
      </c>
      <c r="AE53" s="1188" t="s">
        <v>230</v>
      </c>
      <c r="AF53" s="1188" t="s">
        <v>231</v>
      </c>
      <c r="AG53" s="1188" t="s">
        <v>232</v>
      </c>
      <c r="AH53" s="1188" t="str">
        <f>IF($E$53=0,"",$E$53)</f>
        <v>Плата за подключение (технологическое присоединение) к системе теплоснабжения</v>
      </c>
      <c r="AI53" s="1188" t="str">
        <f>IF($G$53=0,"",$G$53)</f>
        <v/>
      </c>
      <c r="AJ53" s="1188" t="str">
        <f>IF($J$53=0,"",$J$53)</f>
        <v/>
      </c>
      <c r="AK53" s="1188" t="str">
        <f>IF($K$53="нет","без дифференциации",IF($N$53=0,"",$N$53))</f>
        <v/>
      </c>
      <c r="AL53" s="1188" t="str">
        <f>IF($O$53="нет","без дифференциации",IF($R$53=0,"",$R$53))</f>
        <v/>
      </c>
      <c r="AM53" s="1188" t="str">
        <f>IF($S$53="нет","без дифференциации",IF($V$53=0,"",$V$53))</f>
        <v/>
      </c>
      <c r="AN53" s="1692">
        <f>$I$53</f>
        <v>0</v>
      </c>
      <c r="AO53" s="1188" t="str">
        <f>$I$53&amp;"."&amp;$M$53</f>
        <v>.</v>
      </c>
      <c r="AP53" s="1180" t="str">
        <f>$I$53&amp;"."&amp;$M$53&amp;"."&amp;$Q$53</f>
        <v>..</v>
      </c>
      <c r="AQ53" s="1180" t="str">
        <f>$I$53&amp;"."&amp;$M$53&amp;"."&amp;$Q$53&amp;"."&amp;$U$53</f>
        <v>...</v>
      </c>
      <c r="AR53" s="1229">
        <v>0</v>
      </c>
    </row>
    <row r="54" spans="1:44" s="4284" customFormat="1" ht="17.25" hidden="1" customHeight="1">
      <c r="A54" s="259"/>
      <c r="C54" s="258"/>
      <c r="D54" s="5361"/>
      <c r="E54" s="5350"/>
      <c r="F54" s="5364"/>
      <c r="G54" s="5350"/>
      <c r="H54" s="5353"/>
      <c r="I54" s="5355"/>
      <c r="J54" s="5357"/>
      <c r="K54" s="5349"/>
      <c r="L54" s="5349"/>
      <c r="M54" s="5349"/>
      <c r="N54" s="5360"/>
      <c r="O54" s="5349"/>
      <c r="P54" s="5349"/>
      <c r="Q54" s="5349"/>
      <c r="R54" s="5347"/>
      <c r="S54" s="5349"/>
      <c r="T54" s="1218"/>
      <c r="U54" s="1218"/>
      <c r="V54" s="1218"/>
      <c r="W54" s="1219"/>
      <c r="X54" s="1180"/>
      <c r="Y54" s="1180"/>
      <c r="Z54" s="1180"/>
      <c r="AA54" s="1180"/>
      <c r="AB54" s="1180"/>
      <c r="AC54" s="1180"/>
      <c r="AD54" s="1180"/>
      <c r="AE54" s="1180"/>
      <c r="AF54" s="1180"/>
      <c r="AG54" s="1180"/>
      <c r="AH54" s="1180"/>
      <c r="AI54" s="1180"/>
      <c r="AJ54" s="1180"/>
      <c r="AK54" s="1180"/>
      <c r="AL54" s="1180"/>
      <c r="AM54" s="1180"/>
      <c r="AN54" s="1180"/>
      <c r="AO54" s="1180"/>
      <c r="AP54" s="1180"/>
      <c r="AQ54" s="1180"/>
      <c r="AR54" s="1229">
        <v>0</v>
      </c>
    </row>
    <row r="55" spans="1:44" s="4284" customFormat="1" ht="17.25" hidden="1" customHeight="1">
      <c r="A55" s="259"/>
      <c r="C55" s="258"/>
      <c r="D55" s="5362"/>
      <c r="E55" s="5351"/>
      <c r="F55" s="5364"/>
      <c r="G55" s="5351"/>
      <c r="H55" s="5353"/>
      <c r="I55" s="5355"/>
      <c r="J55" s="5358"/>
      <c r="K55" s="5349"/>
      <c r="L55" s="5349"/>
      <c r="M55" s="5349"/>
      <c r="N55" s="5347"/>
      <c r="O55" s="5349"/>
      <c r="P55" s="1392"/>
      <c r="Q55" s="1218"/>
      <c r="R55" s="1218"/>
      <c r="S55" s="267"/>
      <c r="T55" s="267"/>
      <c r="U55" s="267"/>
      <c r="V55" s="267"/>
      <c r="W55" s="1219"/>
      <c r="X55" s="1180"/>
      <c r="Y55" s="1180"/>
      <c r="Z55" s="1180"/>
      <c r="AA55" s="1180"/>
      <c r="AB55" s="1180"/>
      <c r="AC55" s="1180"/>
      <c r="AD55" s="1180"/>
      <c r="AE55" s="1180"/>
      <c r="AF55" s="1180"/>
      <c r="AG55" s="1180"/>
      <c r="AH55" s="1180"/>
      <c r="AI55" s="1180"/>
      <c r="AJ55" s="1180"/>
      <c r="AK55" s="1180"/>
      <c r="AL55" s="1180"/>
      <c r="AM55" s="1180"/>
      <c r="AN55" s="1180"/>
      <c r="AO55" s="1180"/>
      <c r="AP55" s="1180"/>
      <c r="AQ55" s="1180"/>
      <c r="AR55" s="1229">
        <v>0</v>
      </c>
    </row>
    <row r="56" spans="1:44" s="4284" customFormat="1" ht="17.25" hidden="1" customHeight="1">
      <c r="A56" s="259"/>
      <c r="C56" s="147"/>
      <c r="D56" s="5362"/>
      <c r="E56" s="5351"/>
      <c r="F56" s="5364"/>
      <c r="G56" s="5351"/>
      <c r="H56" s="5353"/>
      <c r="I56" s="5355"/>
      <c r="J56" s="5358"/>
      <c r="K56" s="5349"/>
      <c r="L56" s="1218"/>
      <c r="M56" s="1218"/>
      <c r="N56" s="1218"/>
      <c r="O56" s="1218"/>
      <c r="P56" s="1218"/>
      <c r="Q56" s="1218"/>
      <c r="R56" s="1218"/>
      <c r="S56" s="267"/>
      <c r="T56" s="267"/>
      <c r="U56" s="267"/>
      <c r="V56" s="267"/>
      <c r="W56" s="1219"/>
      <c r="Y56" s="1188"/>
      <c r="Z56" s="1188"/>
      <c r="AA56" s="1188"/>
      <c r="AB56" s="1188"/>
      <c r="AC56" s="1188"/>
      <c r="AD56" s="1188"/>
      <c r="AE56" s="1188"/>
      <c r="AF56" s="1188"/>
      <c r="AG56" s="1188"/>
      <c r="AH56" s="1188"/>
      <c r="AI56" s="1188"/>
      <c r="AJ56" s="1188"/>
      <c r="AK56" s="1188"/>
      <c r="AL56" s="1188"/>
      <c r="AM56" s="1188"/>
      <c r="AN56" s="1188"/>
      <c r="AO56" s="1188"/>
      <c r="AP56" s="1188"/>
      <c r="AQ56" s="1188"/>
      <c r="AR56" s="1247">
        <v>0</v>
      </c>
    </row>
    <row r="57" spans="1:44" s="4284" customFormat="1" ht="17.25" hidden="1" customHeight="1">
      <c r="A57" s="259"/>
      <c r="C57" s="258"/>
      <c r="D57" s="5362"/>
      <c r="E57" s="5351"/>
      <c r="F57" s="5365"/>
      <c r="G57" s="5351"/>
      <c r="H57" s="1220"/>
      <c r="I57" s="1221"/>
      <c r="J57" s="1221"/>
      <c r="K57" s="1221"/>
      <c r="L57" s="1221"/>
      <c r="M57" s="1221"/>
      <c r="N57" s="1221"/>
      <c r="O57" s="1221"/>
      <c r="P57" s="1221"/>
      <c r="Q57" s="1221"/>
      <c r="R57" s="1221"/>
      <c r="S57" s="1222"/>
      <c r="T57" s="1222"/>
      <c r="U57" s="1222"/>
      <c r="V57" s="1222"/>
      <c r="W57" s="1223"/>
      <c r="X57" s="1180"/>
      <c r="Y57" s="1180"/>
      <c r="Z57" s="1180"/>
      <c r="AA57" s="1180"/>
      <c r="AB57" s="1180"/>
      <c r="AC57" s="1180"/>
      <c r="AD57" s="1180"/>
      <c r="AE57" s="1180"/>
      <c r="AF57" s="1180"/>
      <c r="AG57" s="1180"/>
      <c r="AH57" s="1180"/>
      <c r="AI57" s="1180"/>
      <c r="AJ57" s="1180"/>
      <c r="AK57" s="1180"/>
      <c r="AL57" s="1180"/>
      <c r="AM57" s="1180"/>
      <c r="AN57" s="1180"/>
      <c r="AO57" s="1180"/>
      <c r="AP57" s="1180"/>
      <c r="AQ57" s="1180"/>
      <c r="AR57" s="1229">
        <v>0</v>
      </c>
    </row>
    <row r="58" spans="1:44" s="4284" customFormat="1" ht="17.25" hidden="1" customHeight="1">
      <c r="A58" s="259"/>
      <c r="C58" s="147"/>
      <c r="D58" s="5361">
        <v>9</v>
      </c>
      <c r="E58" s="5350" t="s">
        <v>233</v>
      </c>
      <c r="F58" s="5363" t="s">
        <v>19</v>
      </c>
      <c r="G58" s="5350"/>
      <c r="H58" s="5352"/>
      <c r="I58" s="5354"/>
      <c r="J58" s="5356"/>
      <c r="K58" s="5348"/>
      <c r="L58" s="5348"/>
      <c r="M58" s="5348"/>
      <c r="N58" s="5359"/>
      <c r="O58" s="5348"/>
      <c r="P58" s="5348"/>
      <c r="Q58" s="5348"/>
      <c r="R58" s="5346"/>
      <c r="S58" s="5348"/>
      <c r="T58" s="1846"/>
      <c r="U58" s="1846"/>
      <c r="V58" s="1848"/>
      <c r="W58" s="1217"/>
      <c r="X58" s="1188"/>
      <c r="Y58" s="1188"/>
      <c r="Z58" s="1188"/>
      <c r="AA58" s="1188"/>
      <c r="AB58" s="1188"/>
      <c r="AC58" s="1188" t="s">
        <v>234</v>
      </c>
      <c r="AD58" s="1188" t="s">
        <v>235</v>
      </c>
      <c r="AE58" s="1188" t="s">
        <v>236</v>
      </c>
      <c r="AF58" s="1188" t="s">
        <v>237</v>
      </c>
      <c r="AG58" s="1188" t="s">
        <v>238</v>
      </c>
      <c r="AH58" s="1188" t="str">
        <f>IF($E$58=0,"",$E$58)</f>
        <v>Плата за подключение (технологическое присоединение) к системе теплоснабжения (индивидуальная)</v>
      </c>
      <c r="AI58" s="1188" t="str">
        <f>IF($G$58=0,"",$G$58)</f>
        <v/>
      </c>
      <c r="AJ58" s="1188" t="str">
        <f>IF($J$58=0,"",$J$58)</f>
        <v/>
      </c>
      <c r="AK58" s="1188" t="str">
        <f>IF($K$58="нет","без дифференциации",IF($N$58=0,"",$N$58))</f>
        <v/>
      </c>
      <c r="AL58" s="1188" t="str">
        <f>IF($O$58="нет","без дифференциации",IF($R$58=0,"",$R$58))</f>
        <v/>
      </c>
      <c r="AM58" s="1188" t="str">
        <f>IF($S$58="нет","без дифференциации",IF($V$58=0,"",$V$58))</f>
        <v/>
      </c>
      <c r="AN58" s="1692">
        <f>$I$58</f>
        <v>0</v>
      </c>
      <c r="AO58" s="1188" t="str">
        <f>$I$58&amp;"."&amp;$M$58</f>
        <v>.</v>
      </c>
      <c r="AP58" s="1187" t="str">
        <f>$I$58&amp;"."&amp;$M$58&amp;"."&amp;$Q$58</f>
        <v>..</v>
      </c>
      <c r="AQ58" s="1187" t="str">
        <f>$I$58&amp;"."&amp;$M$58&amp;"."&amp;$Q$58&amp;"."&amp;$U$58</f>
        <v>...</v>
      </c>
      <c r="AR58" s="1388">
        <v>0</v>
      </c>
    </row>
    <row r="59" spans="1:44" s="4284" customFormat="1" ht="17.25" hidden="1" customHeight="1">
      <c r="A59" s="259"/>
      <c r="C59" s="258"/>
      <c r="D59" s="5361"/>
      <c r="E59" s="5350"/>
      <c r="F59" s="5364"/>
      <c r="G59" s="5350"/>
      <c r="H59" s="5353"/>
      <c r="I59" s="5355"/>
      <c r="J59" s="5357"/>
      <c r="K59" s="5349"/>
      <c r="L59" s="5349"/>
      <c r="M59" s="5349"/>
      <c r="N59" s="5360"/>
      <c r="O59" s="5349"/>
      <c r="P59" s="5349"/>
      <c r="Q59" s="5349"/>
      <c r="R59" s="5347"/>
      <c r="S59" s="5349"/>
      <c r="T59" s="1849"/>
      <c r="U59" s="1849"/>
      <c r="V59" s="1849"/>
      <c r="W59" s="1850"/>
      <c r="X59" s="1187"/>
      <c r="Y59" s="1187"/>
      <c r="Z59" s="1187"/>
      <c r="AA59" s="1187"/>
      <c r="AB59" s="1187"/>
      <c r="AC59" s="1187"/>
      <c r="AD59" s="1187"/>
      <c r="AE59" s="1187"/>
      <c r="AF59" s="1187"/>
      <c r="AG59" s="1187"/>
      <c r="AH59" s="1187"/>
      <c r="AI59" s="1187"/>
      <c r="AJ59" s="1187"/>
      <c r="AK59" s="1187"/>
      <c r="AL59" s="1187"/>
      <c r="AM59" s="1187"/>
      <c r="AN59" s="1187"/>
      <c r="AO59" s="1187"/>
      <c r="AP59" s="1187"/>
      <c r="AQ59" s="1187"/>
      <c r="AR59" s="1388">
        <v>0</v>
      </c>
    </row>
    <row r="60" spans="1:44" s="4284" customFormat="1" ht="17.25" hidden="1" customHeight="1">
      <c r="A60" s="259"/>
      <c r="C60" s="258"/>
      <c r="D60" s="5362"/>
      <c r="E60" s="5351"/>
      <c r="F60" s="5364"/>
      <c r="G60" s="5351"/>
      <c r="H60" s="5353"/>
      <c r="I60" s="5355"/>
      <c r="J60" s="5358"/>
      <c r="K60" s="5349"/>
      <c r="L60" s="5349"/>
      <c r="M60" s="5349"/>
      <c r="N60" s="5347"/>
      <c r="O60" s="5349"/>
      <c r="P60" s="1847"/>
      <c r="Q60" s="1849"/>
      <c r="R60" s="1849"/>
      <c r="S60" s="267"/>
      <c r="T60" s="267"/>
      <c r="U60" s="267"/>
      <c r="V60" s="267"/>
      <c r="W60" s="1850"/>
      <c r="X60" s="1187"/>
      <c r="Y60" s="1187"/>
      <c r="Z60" s="1187"/>
      <c r="AA60" s="1187"/>
      <c r="AB60" s="1187"/>
      <c r="AC60" s="1187"/>
      <c r="AD60" s="1187"/>
      <c r="AE60" s="1187"/>
      <c r="AF60" s="1187"/>
      <c r="AG60" s="1187"/>
      <c r="AH60" s="1187"/>
      <c r="AI60" s="1187"/>
      <c r="AJ60" s="1187"/>
      <c r="AK60" s="1187"/>
      <c r="AL60" s="1187"/>
      <c r="AM60" s="1187"/>
      <c r="AN60" s="1187"/>
      <c r="AO60" s="1187"/>
      <c r="AP60" s="1187"/>
      <c r="AQ60" s="1187"/>
      <c r="AR60" s="1388">
        <v>0</v>
      </c>
    </row>
    <row r="61" spans="1:44" s="4284" customFormat="1" ht="17.25" hidden="1" customHeight="1">
      <c r="A61" s="259"/>
      <c r="C61" s="147"/>
      <c r="D61" s="5362"/>
      <c r="E61" s="5351"/>
      <c r="F61" s="5364"/>
      <c r="G61" s="5351"/>
      <c r="H61" s="5353"/>
      <c r="I61" s="5355"/>
      <c r="J61" s="5358"/>
      <c r="K61" s="5349"/>
      <c r="L61" s="1849"/>
      <c r="M61" s="1849"/>
      <c r="N61" s="1849"/>
      <c r="O61" s="1849"/>
      <c r="P61" s="1849"/>
      <c r="Q61" s="1849"/>
      <c r="R61" s="1849"/>
      <c r="S61" s="267"/>
      <c r="T61" s="267"/>
      <c r="U61" s="267"/>
      <c r="V61" s="267"/>
      <c r="W61" s="1850"/>
      <c r="Y61" s="1188"/>
      <c r="Z61" s="1188"/>
      <c r="AA61" s="1188"/>
      <c r="AB61" s="1188"/>
      <c r="AC61" s="1188"/>
      <c r="AD61" s="1188"/>
      <c r="AE61" s="1188"/>
      <c r="AF61" s="1188"/>
      <c r="AG61" s="1188"/>
      <c r="AH61" s="1188"/>
      <c r="AI61" s="1188"/>
      <c r="AJ61" s="1188"/>
      <c r="AK61" s="1188"/>
      <c r="AL61" s="1188"/>
      <c r="AM61" s="1188"/>
      <c r="AN61" s="1188"/>
      <c r="AO61" s="1188"/>
      <c r="AP61" s="1188"/>
      <c r="AQ61" s="1188"/>
      <c r="AR61" s="1388">
        <v>0</v>
      </c>
    </row>
    <row r="62" spans="1:44" s="4284" customFormat="1" ht="17.25" hidden="1" customHeight="1">
      <c r="A62" s="259"/>
      <c r="C62" s="258"/>
      <c r="D62" s="5362"/>
      <c r="E62" s="5351"/>
      <c r="F62" s="5365"/>
      <c r="G62" s="5351"/>
      <c r="H62" s="1220"/>
      <c r="I62" s="1851"/>
      <c r="J62" s="1851"/>
      <c r="K62" s="1851"/>
      <c r="L62" s="1851"/>
      <c r="M62" s="1851"/>
      <c r="N62" s="1851"/>
      <c r="O62" s="1851"/>
      <c r="P62" s="1851"/>
      <c r="Q62" s="1851"/>
      <c r="R62" s="1851"/>
      <c r="S62" s="1222"/>
      <c r="T62" s="1222"/>
      <c r="U62" s="1222"/>
      <c r="V62" s="1222"/>
      <c r="W62" s="1852"/>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388">
        <v>0</v>
      </c>
    </row>
    <row r="63" spans="1:44" s="4284" customFormat="1" ht="17.25" hidden="1" customHeight="1">
      <c r="A63" s="259"/>
      <c r="C63" s="147"/>
      <c r="D63" s="5361">
        <v>10</v>
      </c>
      <c r="E63" s="5350" t="s">
        <v>239</v>
      </c>
      <c r="F63" s="5363" t="s">
        <v>19</v>
      </c>
      <c r="G63" s="5350"/>
      <c r="H63" s="5352"/>
      <c r="I63" s="5354"/>
      <c r="J63" s="5356"/>
      <c r="K63" s="5348"/>
      <c r="L63" s="5348"/>
      <c r="M63" s="5348"/>
      <c r="N63" s="5359"/>
      <c r="O63" s="5348"/>
      <c r="P63" s="5348"/>
      <c r="Q63" s="5348"/>
      <c r="R63" s="5346"/>
      <c r="S63" s="5348"/>
      <c r="T63" s="1846"/>
      <c r="U63" s="1846"/>
      <c r="V63" s="1848"/>
      <c r="W63" s="1217"/>
      <c r="X63" s="1188"/>
      <c r="Y63" s="1188"/>
      <c r="Z63" s="1188"/>
      <c r="AA63" s="1188"/>
      <c r="AB63" s="1188"/>
      <c r="AC63" s="1188" t="s">
        <v>240</v>
      </c>
      <c r="AD63" s="1188" t="s">
        <v>241</v>
      </c>
      <c r="AE63" s="1188" t="s">
        <v>242</v>
      </c>
      <c r="AF63" s="1188" t="s">
        <v>243</v>
      </c>
      <c r="AG63" s="1188" t="s">
        <v>244</v>
      </c>
      <c r="AH63" s="1188" t="str">
        <f>IF($E$63=0,"",$E$63)</f>
        <v>Предельный уровень цены на тепловую энергию (мощность), поставляемую теплоснабжающими организациями потребителям</v>
      </c>
      <c r="AI63" s="1188" t="str">
        <f>IF($G$63=0,"",$G$63)</f>
        <v/>
      </c>
      <c r="AJ63" s="1188" t="str">
        <f>IF($J$63=0,"",$J$63)</f>
        <v/>
      </c>
      <c r="AK63" s="1188" t="str">
        <f>IF($K$63="нет","без дифференциации",IF($N$63=0,"",$N$63))</f>
        <v/>
      </c>
      <c r="AL63" s="1188" t="str">
        <f>IF($O$63="нет","без дифференциации",IF($R$63=0,"",$R$63))</f>
        <v/>
      </c>
      <c r="AM63" s="1188" t="str">
        <f>IF($S$63="нет","без дифференциации",IF($V$63=0,"",$V$63))</f>
        <v/>
      </c>
      <c r="AN63" s="1692">
        <f>$I$63</f>
        <v>0</v>
      </c>
      <c r="AO63" s="1188" t="str">
        <f>$I$63&amp;"."&amp;$M$63</f>
        <v>.</v>
      </c>
      <c r="AP63" s="1187" t="str">
        <f>$I$63&amp;"."&amp;$M$63&amp;"."&amp;$Q$63</f>
        <v>..</v>
      </c>
      <c r="AQ63" s="1187" t="str">
        <f>$I$63&amp;"."&amp;$M$63&amp;"."&amp;$Q$63&amp;"."&amp;$U$63</f>
        <v>...</v>
      </c>
      <c r="AR63" s="1388">
        <v>0</v>
      </c>
    </row>
    <row r="64" spans="1:44" s="4284" customFormat="1" ht="17.25" hidden="1" customHeight="1">
      <c r="A64" s="259"/>
      <c r="C64" s="258"/>
      <c r="D64" s="5361"/>
      <c r="E64" s="5350"/>
      <c r="F64" s="5364"/>
      <c r="G64" s="5350"/>
      <c r="H64" s="5353"/>
      <c r="I64" s="5355"/>
      <c r="J64" s="5357"/>
      <c r="K64" s="5349"/>
      <c r="L64" s="5349"/>
      <c r="M64" s="5349"/>
      <c r="N64" s="5360"/>
      <c r="O64" s="5349"/>
      <c r="P64" s="5349"/>
      <c r="Q64" s="5349"/>
      <c r="R64" s="5347"/>
      <c r="S64" s="5349"/>
      <c r="T64" s="1849"/>
      <c r="U64" s="1849"/>
      <c r="V64" s="1849"/>
      <c r="W64" s="1850"/>
      <c r="X64" s="1187"/>
      <c r="Y64" s="1187"/>
      <c r="Z64" s="1187"/>
      <c r="AA64" s="1187"/>
      <c r="AB64" s="1187"/>
      <c r="AC64" s="1187"/>
      <c r="AD64" s="1187"/>
      <c r="AE64" s="1187"/>
      <c r="AF64" s="1187"/>
      <c r="AG64" s="1187"/>
      <c r="AH64" s="1187"/>
      <c r="AI64" s="1187"/>
      <c r="AJ64" s="1187"/>
      <c r="AK64" s="1187"/>
      <c r="AL64" s="1187"/>
      <c r="AM64" s="1187"/>
      <c r="AN64" s="1187"/>
      <c r="AO64" s="1187"/>
      <c r="AP64" s="1187"/>
      <c r="AQ64" s="1187"/>
      <c r="AR64" s="1388">
        <v>0</v>
      </c>
    </row>
    <row r="65" spans="1:44" s="4284" customFormat="1" ht="17.25" hidden="1" customHeight="1">
      <c r="A65" s="259"/>
      <c r="C65" s="258"/>
      <c r="D65" s="5362"/>
      <c r="E65" s="5351"/>
      <c r="F65" s="5364"/>
      <c r="G65" s="5351"/>
      <c r="H65" s="5353"/>
      <c r="I65" s="5355"/>
      <c r="J65" s="5358"/>
      <c r="K65" s="5349"/>
      <c r="L65" s="5349"/>
      <c r="M65" s="5349"/>
      <c r="N65" s="5347"/>
      <c r="O65" s="5349"/>
      <c r="P65" s="1847"/>
      <c r="Q65" s="1849"/>
      <c r="R65" s="1849"/>
      <c r="S65" s="267"/>
      <c r="T65" s="267"/>
      <c r="U65" s="267"/>
      <c r="V65" s="267"/>
      <c r="W65" s="1850"/>
      <c r="X65" s="1187"/>
      <c r="Y65" s="1187"/>
      <c r="Z65" s="1187"/>
      <c r="AA65" s="1187"/>
      <c r="AB65" s="1187"/>
      <c r="AC65" s="1187"/>
      <c r="AD65" s="1187"/>
      <c r="AE65" s="1187"/>
      <c r="AF65" s="1187"/>
      <c r="AG65" s="1187"/>
      <c r="AH65" s="1187"/>
      <c r="AI65" s="1187"/>
      <c r="AJ65" s="1187"/>
      <c r="AK65" s="1187"/>
      <c r="AL65" s="1187"/>
      <c r="AM65" s="1187"/>
      <c r="AN65" s="1187"/>
      <c r="AO65" s="1187"/>
      <c r="AP65" s="1187"/>
      <c r="AQ65" s="1187"/>
      <c r="AR65" s="1388">
        <v>0</v>
      </c>
    </row>
    <row r="66" spans="1:44" s="4284" customFormat="1" ht="17.25" hidden="1" customHeight="1">
      <c r="A66" s="259"/>
      <c r="C66" s="147"/>
      <c r="D66" s="5362"/>
      <c r="E66" s="5351"/>
      <c r="F66" s="5364"/>
      <c r="G66" s="5351"/>
      <c r="H66" s="5353"/>
      <c r="I66" s="5355"/>
      <c r="J66" s="5358"/>
      <c r="K66" s="5349"/>
      <c r="L66" s="1849"/>
      <c r="M66" s="1849"/>
      <c r="N66" s="1849"/>
      <c r="O66" s="1849"/>
      <c r="P66" s="1849"/>
      <c r="Q66" s="1849"/>
      <c r="R66" s="1849"/>
      <c r="S66" s="267"/>
      <c r="T66" s="267"/>
      <c r="U66" s="267"/>
      <c r="V66" s="267"/>
      <c r="W66" s="1850"/>
      <c r="Y66" s="1188"/>
      <c r="Z66" s="1188"/>
      <c r="AA66" s="1188"/>
      <c r="AB66" s="1188"/>
      <c r="AC66" s="1188"/>
      <c r="AD66" s="1188"/>
      <c r="AE66" s="1188"/>
      <c r="AF66" s="1188"/>
      <c r="AG66" s="1188"/>
      <c r="AH66" s="1188"/>
      <c r="AI66" s="1188"/>
      <c r="AJ66" s="1188"/>
      <c r="AK66" s="1188"/>
      <c r="AL66" s="1188"/>
      <c r="AM66" s="1188"/>
      <c r="AN66" s="1188"/>
      <c r="AO66" s="1188"/>
      <c r="AP66" s="1188"/>
      <c r="AQ66" s="1188"/>
      <c r="AR66" s="1388">
        <v>0</v>
      </c>
    </row>
    <row r="67" spans="1:44" s="4284" customFormat="1" ht="17.25" hidden="1" customHeight="1">
      <c r="A67" s="259"/>
      <c r="C67" s="258"/>
      <c r="D67" s="5362"/>
      <c r="E67" s="5351"/>
      <c r="F67" s="5365"/>
      <c r="G67" s="5351"/>
      <c r="H67" s="1220"/>
      <c r="I67" s="1851"/>
      <c r="J67" s="1851"/>
      <c r="K67" s="1851"/>
      <c r="L67" s="1851"/>
      <c r="M67" s="1851"/>
      <c r="N67" s="1851"/>
      <c r="O67" s="1851"/>
      <c r="P67" s="1851"/>
      <c r="Q67" s="1851"/>
      <c r="R67" s="1851"/>
      <c r="S67" s="1222"/>
      <c r="T67" s="1222"/>
      <c r="U67" s="1222"/>
      <c r="V67" s="1222"/>
      <c r="W67" s="1852"/>
      <c r="X67" s="1187"/>
      <c r="Y67" s="1187"/>
      <c r="Z67" s="1187"/>
      <c r="AA67" s="1187"/>
      <c r="AB67" s="1187"/>
      <c r="AC67" s="1187"/>
      <c r="AD67" s="1187"/>
      <c r="AE67" s="1187"/>
      <c r="AF67" s="1187"/>
      <c r="AG67" s="1187"/>
      <c r="AH67" s="1187"/>
      <c r="AI67" s="1187"/>
      <c r="AJ67" s="1187"/>
      <c r="AK67" s="1187"/>
      <c r="AL67" s="1187"/>
      <c r="AM67" s="1187"/>
      <c r="AN67" s="1187"/>
      <c r="AO67" s="1187"/>
      <c r="AP67" s="1187"/>
      <c r="AQ67" s="1187"/>
      <c r="AR67" s="1388">
        <v>0</v>
      </c>
    </row>
    <row r="68" spans="1:44" ht="11.25" hidden="1" customHeight="1">
      <c r="AR68" s="45">
        <v>0</v>
      </c>
    </row>
    <row r="69" spans="1:44" ht="11.25" hidden="1" customHeight="1">
      <c r="E69" s="5373" t="s">
        <v>245</v>
      </c>
      <c r="F69" s="5373"/>
      <c r="G69" s="5373"/>
      <c r="H69" s="5373"/>
      <c r="I69" s="5373"/>
      <c r="J69" s="5373"/>
      <c r="K69" s="5373"/>
      <c r="L69" s="5373"/>
      <c r="M69" s="5373"/>
      <c r="N69" s="5373"/>
      <c r="O69" s="5373"/>
      <c r="P69" s="5373"/>
      <c r="Q69" s="5373"/>
      <c r="R69" s="5373"/>
      <c r="S69" s="5373"/>
      <c r="T69" s="5373"/>
      <c r="U69" s="5373"/>
      <c r="V69" s="5373"/>
      <c r="W69" s="5373"/>
      <c r="AR69" s="45">
        <v>0</v>
      </c>
    </row>
    <row r="70" spans="1:44" ht="36.75" hidden="1" customHeight="1">
      <c r="E70" s="5371" t="s">
        <v>246</v>
      </c>
      <c r="F70" s="5371"/>
      <c r="G70" s="5372"/>
      <c r="H70" s="5372"/>
      <c r="I70" s="5372"/>
      <c r="J70" s="5372"/>
      <c r="K70" s="5372"/>
      <c r="L70" s="5372"/>
      <c r="M70" s="5372"/>
      <c r="N70" s="5372"/>
      <c r="O70" s="5372"/>
      <c r="P70" s="5372"/>
      <c r="Q70" s="5372"/>
      <c r="R70" s="5372"/>
      <c r="S70" s="5372"/>
      <c r="T70" s="5372"/>
      <c r="U70" s="5372"/>
      <c r="V70" s="5372"/>
      <c r="W70" s="5372"/>
      <c r="AR70" s="45">
        <v>0</v>
      </c>
    </row>
    <row r="71" spans="1:44" ht="28.5" hidden="1" customHeight="1">
      <c r="E71" s="5371" t="s">
        <v>247</v>
      </c>
      <c r="F71" s="5371"/>
      <c r="G71" s="5372"/>
      <c r="H71" s="5372"/>
      <c r="I71" s="5372"/>
      <c r="J71" s="5372"/>
      <c r="K71" s="5372"/>
      <c r="L71" s="5372"/>
      <c r="M71" s="5372"/>
      <c r="N71" s="5372"/>
      <c r="O71" s="5372"/>
      <c r="P71" s="5372"/>
      <c r="Q71" s="5372"/>
      <c r="R71" s="5372"/>
      <c r="S71" s="5372"/>
      <c r="T71" s="5372"/>
      <c r="U71" s="5372"/>
      <c r="V71" s="5372"/>
      <c r="W71" s="5372"/>
      <c r="AR71" s="45">
        <v>0</v>
      </c>
    </row>
    <row r="72" spans="1:44" ht="27" hidden="1" customHeight="1">
      <c r="E72" s="5371" t="s">
        <v>248</v>
      </c>
      <c r="F72" s="5371"/>
      <c r="G72" s="5372"/>
      <c r="H72" s="5372"/>
      <c r="I72" s="5372"/>
      <c r="J72" s="5372"/>
      <c r="K72" s="5372"/>
      <c r="L72" s="5372"/>
      <c r="M72" s="5372"/>
      <c r="N72" s="5372"/>
      <c r="O72" s="5372"/>
      <c r="P72" s="5372"/>
      <c r="Q72" s="5372"/>
      <c r="R72" s="5372"/>
      <c r="S72" s="5372"/>
      <c r="T72" s="5372"/>
      <c r="U72" s="5372"/>
      <c r="V72" s="5372"/>
      <c r="W72" s="5372"/>
      <c r="AR72" s="45">
        <v>0</v>
      </c>
    </row>
    <row r="73" spans="1:44" ht="17.25" hidden="1" customHeight="1">
      <c r="E73" s="5371" t="s">
        <v>249</v>
      </c>
      <c r="F73" s="5371"/>
      <c r="G73" s="5372"/>
      <c r="H73" s="5372"/>
      <c r="I73" s="5372"/>
      <c r="J73" s="5372"/>
      <c r="K73" s="5372"/>
      <c r="L73" s="5372"/>
      <c r="M73" s="5372"/>
      <c r="N73" s="5372"/>
      <c r="O73" s="5372"/>
      <c r="P73" s="5372"/>
      <c r="Q73" s="5372"/>
      <c r="R73" s="5372"/>
      <c r="S73" s="5372"/>
      <c r="T73" s="5372"/>
      <c r="U73" s="5372"/>
      <c r="V73" s="5372"/>
      <c r="W73" s="5372"/>
      <c r="AR73" s="45">
        <v>0</v>
      </c>
    </row>
    <row r="74" spans="1:44" ht="15" hidden="1" customHeight="1">
      <c r="E74" s="278"/>
      <c r="F74" s="1206"/>
      <c r="G74" s="96"/>
      <c r="H74" s="96"/>
      <c r="I74" s="96"/>
      <c r="J74" s="96"/>
      <c r="K74" s="96"/>
      <c r="L74" s="96"/>
      <c r="M74" s="96"/>
      <c r="N74" s="96"/>
      <c r="O74" s="96"/>
      <c r="P74" s="96"/>
      <c r="Q74" s="96"/>
      <c r="R74" s="96"/>
      <c r="S74" s="96"/>
      <c r="T74" s="96"/>
      <c r="U74" s="96"/>
      <c r="V74" s="96"/>
      <c r="W74" s="96"/>
      <c r="AR74" s="45">
        <v>0</v>
      </c>
    </row>
    <row r="75" spans="1:44" ht="15" hidden="1" customHeight="1">
      <c r="E75" s="5373" t="s">
        <v>250</v>
      </c>
      <c r="F75" s="5373"/>
      <c r="G75" s="5373"/>
      <c r="H75" s="5373"/>
      <c r="I75" s="5373"/>
      <c r="J75" s="5373"/>
      <c r="K75" s="5373"/>
      <c r="L75" s="5373"/>
      <c r="M75" s="5373"/>
      <c r="N75" s="5373"/>
      <c r="O75" s="5373"/>
      <c r="P75" s="5373"/>
      <c r="Q75" s="5373"/>
      <c r="R75" s="5373"/>
      <c r="S75" s="5373"/>
      <c r="T75" s="5373"/>
      <c r="U75" s="5373"/>
      <c r="V75" s="5373"/>
      <c r="W75" s="5373"/>
      <c r="AR75" s="45">
        <v>0</v>
      </c>
    </row>
    <row r="76" spans="1:44" ht="17.25" hidden="1" customHeight="1">
      <c r="E76" s="5371" t="s">
        <v>251</v>
      </c>
      <c r="F76" s="5371"/>
      <c r="G76" s="5372"/>
      <c r="H76" s="5372"/>
      <c r="I76" s="5372"/>
      <c r="J76" s="5372"/>
      <c r="K76" s="5372"/>
      <c r="L76" s="5372"/>
      <c r="M76" s="5372"/>
      <c r="N76" s="5372"/>
      <c r="O76" s="5372"/>
      <c r="P76" s="5372"/>
      <c r="Q76" s="5372"/>
      <c r="R76" s="5372"/>
      <c r="S76" s="5372"/>
      <c r="T76" s="5372"/>
      <c r="U76" s="5372"/>
      <c r="V76" s="5372"/>
      <c r="W76" s="5372"/>
      <c r="AR76" s="45">
        <v>0</v>
      </c>
    </row>
    <row r="77" spans="1:44" ht="17.25" hidden="1" customHeight="1">
      <c r="E77" s="5371" t="s">
        <v>252</v>
      </c>
      <c r="F77" s="5371"/>
      <c r="G77" s="5372"/>
      <c r="H77" s="5372"/>
      <c r="I77" s="5372"/>
      <c r="J77" s="5372"/>
      <c r="K77" s="5372"/>
      <c r="L77" s="5372"/>
      <c r="M77" s="5372"/>
      <c r="N77" s="5372"/>
      <c r="O77" s="5372"/>
      <c r="P77" s="5372"/>
      <c r="Q77" s="5372"/>
      <c r="R77" s="5372"/>
      <c r="S77" s="5372"/>
      <c r="T77" s="5372"/>
      <c r="U77" s="5372"/>
      <c r="V77" s="5372"/>
      <c r="W77" s="5372"/>
      <c r="AR77" s="45">
        <v>0</v>
      </c>
    </row>
    <row r="78" spans="1:44" s="4284" customFormat="1" ht="11.25" hidden="1" customHeight="1">
      <c r="A78" s="215"/>
      <c r="B78" s="215"/>
      <c r="Y78" s="1180"/>
      <c r="Z78" s="1180"/>
      <c r="AA78" s="1180"/>
      <c r="AB78" s="1180"/>
      <c r="AC78" s="1180"/>
      <c r="AD78" s="1180"/>
      <c r="AE78" s="1180"/>
      <c r="AF78" s="1180"/>
      <c r="AG78" s="1180"/>
      <c r="AH78" s="1180"/>
      <c r="AI78" s="1180"/>
      <c r="AJ78" s="1180"/>
      <c r="AK78" s="1180"/>
      <c r="AL78" s="1180"/>
      <c r="AM78" s="1180"/>
      <c r="AN78" s="1180"/>
      <c r="AO78" s="1180"/>
      <c r="AP78" s="1180"/>
      <c r="AQ78" s="1180"/>
      <c r="AR78" s="1271">
        <v>0</v>
      </c>
    </row>
    <row r="79" spans="1:44" s="4284" customFormat="1" ht="17.25" hidden="1" customHeight="1">
      <c r="A79" s="259"/>
      <c r="C79" s="147"/>
      <c r="D79" s="5361">
        <v>1</v>
      </c>
      <c r="E79" s="5350" t="s">
        <v>253</v>
      </c>
      <c r="F79" s="5363" t="s">
        <v>19</v>
      </c>
      <c r="G79" s="5350"/>
      <c r="H79" s="5352"/>
      <c r="I79" s="5354"/>
      <c r="J79" s="5356"/>
      <c r="K79" s="5348"/>
      <c r="L79" s="5348"/>
      <c r="M79" s="5348"/>
      <c r="N79" s="5359"/>
      <c r="O79" s="5348"/>
      <c r="P79" s="5348"/>
      <c r="Q79" s="5348"/>
      <c r="R79" s="5346"/>
      <c r="S79" s="5348"/>
      <c r="T79" s="1391"/>
      <c r="U79" s="1391"/>
      <c r="V79" s="1393"/>
      <c r="W79" s="1217"/>
      <c r="Y79" s="1188"/>
      <c r="Z79" s="1188"/>
      <c r="AA79" s="1188"/>
      <c r="AB79" s="1188"/>
      <c r="AC79" s="1188" t="s">
        <v>254</v>
      </c>
      <c r="AD79" s="1188" t="s">
        <v>255</v>
      </c>
      <c r="AE79" s="1188" t="s">
        <v>256</v>
      </c>
      <c r="AF79" s="1188" t="s">
        <v>257</v>
      </c>
      <c r="AG79" s="1188"/>
      <c r="AH79" s="1188" t="str">
        <f>IF($E$79=0,"",$E$79)</f>
        <v>Тариф на питьевую воду (питьевое водоснабжение)</v>
      </c>
      <c r="AI79" s="1188" t="str">
        <f>IF($G$79=0,"",$G$79)</f>
        <v/>
      </c>
      <c r="AJ79" s="1188" t="str">
        <f>IF($J$79=0,"",$J$79)</f>
        <v/>
      </c>
      <c r="AK79" s="1188" t="str">
        <f>IF($K$79="нет","без дифференциации",IF($N$79=0,"",$N$79))</f>
        <v/>
      </c>
      <c r="AL79" s="1188" t="str">
        <f>IF($O$79="нет","без дифференциации",IF($R$79=0,"",$R$79))</f>
        <v/>
      </c>
      <c r="AM79" s="1188" t="str">
        <f>IF($S$79="нет","без дифференциации",IF($V$79=0,"",$V$79))</f>
        <v/>
      </c>
      <c r="AN79" s="1188">
        <f>$I$79</f>
        <v>0</v>
      </c>
      <c r="AO79" s="1188" t="str">
        <f>$I$79&amp;"."&amp;$M$79</f>
        <v>.</v>
      </c>
      <c r="AP79" s="1188" t="str">
        <f>$I$79&amp;"."&amp;$M$79&amp;"."&amp;$Q$79</f>
        <v>..</v>
      </c>
      <c r="AQ79" s="1188" t="str">
        <f>$I$79&amp;"."&amp;$M$79&amp;"."&amp;$Q$79&amp;"."&amp;$U$79</f>
        <v>...</v>
      </c>
      <c r="AR79" s="1271">
        <v>0</v>
      </c>
    </row>
    <row r="80" spans="1:44" s="4284" customFormat="1" ht="17.25" hidden="1" customHeight="1">
      <c r="A80" s="259"/>
      <c r="C80" s="258"/>
      <c r="D80" s="5361"/>
      <c r="E80" s="5350"/>
      <c r="F80" s="5364"/>
      <c r="G80" s="5350"/>
      <c r="H80" s="5353"/>
      <c r="I80" s="5355"/>
      <c r="J80" s="5357"/>
      <c r="K80" s="5349"/>
      <c r="L80" s="5349"/>
      <c r="M80" s="5349"/>
      <c r="N80" s="5360"/>
      <c r="O80" s="5349"/>
      <c r="P80" s="5349"/>
      <c r="Q80" s="5349"/>
      <c r="R80" s="5347"/>
      <c r="S80" s="5349"/>
      <c r="T80" s="1218"/>
      <c r="U80" s="1218"/>
      <c r="V80" s="1218"/>
      <c r="W80" s="1219"/>
      <c r="Y80" s="1180"/>
      <c r="Z80" s="1180"/>
      <c r="AA80" s="1180"/>
      <c r="AB80" s="1180"/>
      <c r="AC80" s="1180"/>
      <c r="AD80" s="1180"/>
      <c r="AE80" s="1180"/>
      <c r="AF80" s="1180"/>
      <c r="AG80" s="1180"/>
      <c r="AH80" s="1180"/>
      <c r="AI80" s="1180"/>
      <c r="AJ80" s="1180"/>
      <c r="AK80" s="1180"/>
      <c r="AL80" s="1180"/>
      <c r="AM80" s="1180"/>
      <c r="AN80" s="1180"/>
      <c r="AO80" s="1180"/>
      <c r="AP80" s="1180"/>
      <c r="AQ80" s="1180"/>
      <c r="AR80" s="1271">
        <v>0</v>
      </c>
    </row>
    <row r="81" spans="1:44" s="4284" customFormat="1" ht="17.25" hidden="1" customHeight="1">
      <c r="A81" s="259"/>
      <c r="C81" s="147"/>
      <c r="D81" s="5361"/>
      <c r="E81" s="5350"/>
      <c r="F81" s="5364"/>
      <c r="G81" s="5350"/>
      <c r="H81" s="5353"/>
      <c r="I81" s="5355"/>
      <c r="J81" s="5358"/>
      <c r="K81" s="5349"/>
      <c r="L81" s="5349"/>
      <c r="M81" s="5349"/>
      <c r="N81" s="5347"/>
      <c r="O81" s="5349"/>
      <c r="P81" s="1392"/>
      <c r="Q81" s="1218"/>
      <c r="R81" s="1218"/>
      <c r="S81" s="267"/>
      <c r="T81" s="267"/>
      <c r="U81" s="267"/>
      <c r="V81" s="267"/>
      <c r="W81" s="1219"/>
      <c r="Y81" s="1188"/>
      <c r="Z81" s="1188"/>
      <c r="AA81" s="1188"/>
      <c r="AB81" s="1188"/>
      <c r="AC81" s="1188"/>
      <c r="AD81" s="1188"/>
      <c r="AE81" s="1188"/>
      <c r="AF81" s="1188"/>
      <c r="AG81" s="1188"/>
      <c r="AH81" s="1188"/>
      <c r="AI81" s="1188"/>
      <c r="AJ81" s="1188"/>
      <c r="AK81" s="1188"/>
      <c r="AL81" s="1188"/>
      <c r="AM81" s="1188"/>
      <c r="AN81" s="1188"/>
      <c r="AO81" s="1188"/>
      <c r="AP81" s="1188"/>
      <c r="AQ81" s="1188"/>
      <c r="AR81" s="1362">
        <v>0</v>
      </c>
    </row>
    <row r="82" spans="1:44" s="4284" customFormat="1" ht="17.25" hidden="1" customHeight="1">
      <c r="A82" s="259"/>
      <c r="C82" s="258"/>
      <c r="D82" s="5361"/>
      <c r="E82" s="5350"/>
      <c r="F82" s="5364"/>
      <c r="G82" s="5350"/>
      <c r="H82" s="5353"/>
      <c r="I82" s="5355"/>
      <c r="J82" s="5358"/>
      <c r="K82" s="5349"/>
      <c r="L82" s="1218"/>
      <c r="M82" s="1218"/>
      <c r="N82" s="1218"/>
      <c r="O82" s="1218"/>
      <c r="P82" s="1218"/>
      <c r="Q82" s="1218"/>
      <c r="R82" s="1218"/>
      <c r="S82" s="267"/>
      <c r="T82" s="267"/>
      <c r="U82" s="267"/>
      <c r="V82" s="267"/>
      <c r="W82" s="1219"/>
      <c r="Y82" s="1180"/>
      <c r="Z82" s="1180"/>
      <c r="AA82" s="1180"/>
      <c r="AB82" s="1180"/>
      <c r="AC82" s="1180"/>
      <c r="AD82" s="1180"/>
      <c r="AE82" s="1180"/>
      <c r="AF82" s="1180"/>
      <c r="AG82" s="1180"/>
      <c r="AH82" s="1180"/>
      <c r="AI82" s="1180"/>
      <c r="AJ82" s="1180"/>
      <c r="AK82" s="1180"/>
      <c r="AL82" s="1180"/>
      <c r="AM82" s="1180"/>
      <c r="AN82" s="1180"/>
      <c r="AO82" s="1180"/>
      <c r="AP82" s="1180"/>
      <c r="AQ82" s="1180"/>
      <c r="AR82" s="1362">
        <v>0</v>
      </c>
    </row>
    <row r="83" spans="1:44" s="4284" customFormat="1" ht="17.25" hidden="1" customHeight="1">
      <c r="A83" s="259"/>
      <c r="C83" s="258"/>
      <c r="D83" s="5362"/>
      <c r="E83" s="5351"/>
      <c r="F83" s="5365"/>
      <c r="G83" s="5351"/>
      <c r="H83" s="1220"/>
      <c r="I83" s="1221"/>
      <c r="J83" s="1221"/>
      <c r="K83" s="1221"/>
      <c r="L83" s="1221"/>
      <c r="M83" s="1221"/>
      <c r="N83" s="1221"/>
      <c r="O83" s="1221"/>
      <c r="P83" s="1221"/>
      <c r="Q83" s="1221"/>
      <c r="R83" s="1221"/>
      <c r="S83" s="1222"/>
      <c r="T83" s="1222"/>
      <c r="U83" s="1222"/>
      <c r="V83" s="1222"/>
      <c r="W83" s="1223"/>
      <c r="Y83" s="1180"/>
      <c r="Z83" s="1180"/>
      <c r="AA83" s="1180"/>
      <c r="AB83" s="1180"/>
      <c r="AC83" s="1180"/>
      <c r="AD83" s="1180"/>
      <c r="AE83" s="1180"/>
      <c r="AF83" s="1180"/>
      <c r="AG83" s="1180"/>
      <c r="AH83" s="1180"/>
      <c r="AI83" s="1180"/>
      <c r="AJ83" s="1180"/>
      <c r="AK83" s="1180"/>
      <c r="AL83" s="1180"/>
      <c r="AM83" s="1180"/>
      <c r="AN83" s="1180"/>
      <c r="AO83" s="1180"/>
      <c r="AP83" s="1180"/>
      <c r="AQ83" s="1180"/>
      <c r="AR83" s="1271">
        <v>0</v>
      </c>
    </row>
    <row r="84" spans="1:44" s="4284" customFormat="1" ht="17.25" hidden="1" customHeight="1">
      <c r="A84" s="259"/>
      <c r="C84" s="147"/>
      <c r="D84" s="5361">
        <v>2</v>
      </c>
      <c r="E84" s="5350" t="s">
        <v>258</v>
      </c>
      <c r="F84" s="5363" t="s">
        <v>19</v>
      </c>
      <c r="G84" s="5350"/>
      <c r="H84" s="5352"/>
      <c r="I84" s="5354"/>
      <c r="J84" s="5356"/>
      <c r="K84" s="5348"/>
      <c r="L84" s="5348"/>
      <c r="M84" s="5348"/>
      <c r="N84" s="5359"/>
      <c r="O84" s="5348"/>
      <c r="P84" s="5348"/>
      <c r="Q84" s="5348"/>
      <c r="R84" s="5346"/>
      <c r="S84" s="5348"/>
      <c r="T84" s="1364"/>
      <c r="U84" s="1364"/>
      <c r="V84" s="1366"/>
      <c r="W84" s="1217"/>
      <c r="X84" s="1188"/>
      <c r="Y84" s="1188"/>
      <c r="Z84" s="1188"/>
      <c r="AA84" s="1188"/>
      <c r="AB84" s="1188"/>
      <c r="AC84" s="1188" t="s">
        <v>259</v>
      </c>
      <c r="AD84" s="1188" t="s">
        <v>260</v>
      </c>
      <c r="AE84" s="1188" t="s">
        <v>261</v>
      </c>
      <c r="AF84" s="1188" t="s">
        <v>262</v>
      </c>
      <c r="AG84" s="1188"/>
      <c r="AH84" s="1188" t="str">
        <f>IF($E$84=0,"",$E$84)</f>
        <v>Тариф на техническую воду</v>
      </c>
      <c r="AI84" s="1188" t="str">
        <f>IF($G$84=0,"",$G$84)</f>
        <v/>
      </c>
      <c r="AJ84" s="1188" t="str">
        <f>IF($J$84=0,"",$J$84)</f>
        <v/>
      </c>
      <c r="AK84" s="1188" t="str">
        <f>IF($K$84="нет","без дифференциации",IF($N$84=0,"",$N$84))</f>
        <v/>
      </c>
      <c r="AL84" s="1188" t="str">
        <f>IF($O$84="нет","без дифференциации",IF($R$84=0,"",$R$84))</f>
        <v/>
      </c>
      <c r="AM84" s="1188" t="str">
        <f>IF($S$84="нет","без дифференциации",IF($V$84=0,"",$V$84))</f>
        <v/>
      </c>
      <c r="AN84" s="1692">
        <f>$I$84</f>
        <v>0</v>
      </c>
      <c r="AO84" s="1188" t="str">
        <f>$I$84&amp;"."&amp;$M$84</f>
        <v>.</v>
      </c>
      <c r="AP84" s="1180" t="str">
        <f>$I$84&amp;"."&amp;$M$84&amp;"."&amp;$Q$84</f>
        <v>..</v>
      </c>
      <c r="AQ84" s="1180" t="str">
        <f>$I$84&amp;"."&amp;$M$84&amp;"."&amp;$Q$84&amp;"."&amp;$U$84</f>
        <v>...</v>
      </c>
      <c r="AR84" s="1271">
        <v>0</v>
      </c>
    </row>
    <row r="85" spans="1:44" s="4284" customFormat="1" ht="17.25" hidden="1" customHeight="1">
      <c r="A85" s="259"/>
      <c r="C85" s="258"/>
      <c r="D85" s="5361"/>
      <c r="E85" s="5350"/>
      <c r="F85" s="5364"/>
      <c r="G85" s="5350"/>
      <c r="H85" s="5353"/>
      <c r="I85" s="5355"/>
      <c r="J85" s="5357"/>
      <c r="K85" s="5349"/>
      <c r="L85" s="5349"/>
      <c r="M85" s="5349"/>
      <c r="N85" s="5360"/>
      <c r="O85" s="5349"/>
      <c r="P85" s="5349"/>
      <c r="Q85" s="5349"/>
      <c r="R85" s="5347"/>
      <c r="S85" s="5349"/>
      <c r="T85" s="1218"/>
      <c r="U85" s="1218"/>
      <c r="V85" s="1218"/>
      <c r="W85" s="1219"/>
      <c r="X85" s="1180"/>
      <c r="Y85" s="1180"/>
      <c r="Z85" s="1180"/>
      <c r="AA85" s="1180"/>
      <c r="AB85" s="1180"/>
      <c r="AC85" s="1180"/>
      <c r="AD85" s="1180"/>
      <c r="AE85" s="1180"/>
      <c r="AF85" s="1180"/>
      <c r="AG85" s="1180"/>
      <c r="AH85" s="1180"/>
      <c r="AI85" s="1180"/>
      <c r="AJ85" s="1180"/>
      <c r="AK85" s="1180"/>
      <c r="AL85" s="1180"/>
      <c r="AM85" s="1180"/>
      <c r="AN85" s="1180"/>
      <c r="AO85" s="1180"/>
      <c r="AP85" s="1180"/>
      <c r="AQ85" s="1180"/>
      <c r="AR85" s="1271">
        <v>0</v>
      </c>
    </row>
    <row r="86" spans="1:44" s="4284" customFormat="1" ht="17.25" hidden="1" customHeight="1">
      <c r="A86" s="259"/>
      <c r="C86" s="258"/>
      <c r="D86" s="5362"/>
      <c r="E86" s="5351"/>
      <c r="F86" s="5364"/>
      <c r="G86" s="5351"/>
      <c r="H86" s="5353"/>
      <c r="I86" s="5355"/>
      <c r="J86" s="5358"/>
      <c r="K86" s="5349"/>
      <c r="L86" s="5349"/>
      <c r="M86" s="5349"/>
      <c r="N86" s="5347"/>
      <c r="O86" s="5349"/>
      <c r="P86" s="1365"/>
      <c r="Q86" s="1218"/>
      <c r="R86" s="1218"/>
      <c r="S86" s="267"/>
      <c r="T86" s="267"/>
      <c r="U86" s="267"/>
      <c r="V86" s="267"/>
      <c r="W86" s="1219"/>
      <c r="X86" s="1180"/>
      <c r="Y86" s="1180"/>
      <c r="Z86" s="1180"/>
      <c r="AA86" s="1180"/>
      <c r="AB86" s="1180"/>
      <c r="AC86" s="1180"/>
      <c r="AD86" s="1180"/>
      <c r="AE86" s="1180"/>
      <c r="AF86" s="1180"/>
      <c r="AG86" s="1180"/>
      <c r="AH86" s="1180"/>
      <c r="AI86" s="1180"/>
      <c r="AJ86" s="1180"/>
      <c r="AK86" s="1180"/>
      <c r="AL86" s="1180"/>
      <c r="AM86" s="1180"/>
      <c r="AN86" s="1180"/>
      <c r="AO86" s="1180"/>
      <c r="AP86" s="1180"/>
      <c r="AQ86" s="1180"/>
      <c r="AR86" s="1271">
        <v>0</v>
      </c>
    </row>
    <row r="87" spans="1:44" s="4284" customFormat="1" ht="17.25" hidden="1" customHeight="1">
      <c r="A87" s="259"/>
      <c r="C87" s="258"/>
      <c r="D87" s="5362"/>
      <c r="E87" s="5351"/>
      <c r="F87" s="5364"/>
      <c r="G87" s="5351"/>
      <c r="H87" s="5353"/>
      <c r="I87" s="5355"/>
      <c r="J87" s="5358"/>
      <c r="K87" s="5349"/>
      <c r="L87" s="1218"/>
      <c r="M87" s="1218"/>
      <c r="N87" s="1218"/>
      <c r="O87" s="1218"/>
      <c r="P87" s="1218"/>
      <c r="Q87" s="1218"/>
      <c r="R87" s="1218"/>
      <c r="S87" s="267"/>
      <c r="T87" s="267"/>
      <c r="U87" s="267"/>
      <c r="V87" s="267"/>
      <c r="W87" s="1219"/>
      <c r="X87" s="1180"/>
      <c r="Y87" s="1180"/>
      <c r="Z87" s="1180"/>
      <c r="AA87" s="1180"/>
      <c r="AB87" s="1180"/>
      <c r="AC87" s="1180"/>
      <c r="AD87" s="1180"/>
      <c r="AE87" s="1180"/>
      <c r="AF87" s="1180"/>
      <c r="AG87" s="1180"/>
      <c r="AH87" s="1180"/>
      <c r="AI87" s="1180"/>
      <c r="AJ87" s="1180"/>
      <c r="AK87" s="1180"/>
      <c r="AL87" s="1180"/>
      <c r="AM87" s="1180"/>
      <c r="AN87" s="1180"/>
      <c r="AO87" s="1180"/>
      <c r="AP87" s="1180"/>
      <c r="AQ87" s="1180"/>
      <c r="AR87" s="1271">
        <v>0</v>
      </c>
    </row>
    <row r="88" spans="1:44" s="4284" customFormat="1" ht="17.25" hidden="1" customHeight="1">
      <c r="A88" s="259"/>
      <c r="C88" s="258"/>
      <c r="D88" s="5362"/>
      <c r="E88" s="5351"/>
      <c r="F88" s="5365"/>
      <c r="G88" s="5351"/>
      <c r="H88" s="1220"/>
      <c r="I88" s="1221"/>
      <c r="J88" s="1221"/>
      <c r="K88" s="1221"/>
      <c r="L88" s="1221"/>
      <c r="M88" s="1221"/>
      <c r="N88" s="1221"/>
      <c r="O88" s="1221"/>
      <c r="P88" s="1221"/>
      <c r="Q88" s="1221"/>
      <c r="R88" s="1221"/>
      <c r="S88" s="1222"/>
      <c r="T88" s="1222"/>
      <c r="U88" s="1222"/>
      <c r="V88" s="1222"/>
      <c r="W88" s="1223"/>
      <c r="X88" s="1180"/>
      <c r="Y88" s="1180"/>
      <c r="Z88" s="1180"/>
      <c r="AA88" s="1180"/>
      <c r="AB88" s="1180"/>
      <c r="AC88" s="1180"/>
      <c r="AD88" s="1180"/>
      <c r="AE88" s="1180"/>
      <c r="AF88" s="1180"/>
      <c r="AG88" s="1180"/>
      <c r="AH88" s="1180"/>
      <c r="AI88" s="1180"/>
      <c r="AJ88" s="1180"/>
      <c r="AK88" s="1180"/>
      <c r="AL88" s="1180"/>
      <c r="AM88" s="1180"/>
      <c r="AN88" s="1180"/>
      <c r="AO88" s="1180"/>
      <c r="AP88" s="1180"/>
      <c r="AQ88" s="1180"/>
      <c r="AR88" s="1271">
        <v>0</v>
      </c>
    </row>
    <row r="89" spans="1:44" s="4284" customFormat="1" ht="17.25" hidden="1" customHeight="1">
      <c r="A89" s="259"/>
      <c r="C89" s="147"/>
      <c r="D89" s="5361">
        <v>3</v>
      </c>
      <c r="E89" s="5350" t="s">
        <v>263</v>
      </c>
      <c r="F89" s="5363" t="s">
        <v>19</v>
      </c>
      <c r="G89" s="5350"/>
      <c r="H89" s="5352"/>
      <c r="I89" s="5354"/>
      <c r="J89" s="5356"/>
      <c r="K89" s="5348"/>
      <c r="L89" s="5348"/>
      <c r="M89" s="5348"/>
      <c r="N89" s="5359"/>
      <c r="O89" s="5348"/>
      <c r="P89" s="5348"/>
      <c r="Q89" s="5348"/>
      <c r="R89" s="5346"/>
      <c r="S89" s="5348"/>
      <c r="T89" s="1364"/>
      <c r="U89" s="1364"/>
      <c r="V89" s="1366"/>
      <c r="W89" s="1217"/>
      <c r="X89" s="1188"/>
      <c r="Y89" s="1188"/>
      <c r="Z89" s="1188"/>
      <c r="AA89" s="1188"/>
      <c r="AB89" s="1188"/>
      <c r="AC89" s="1188" t="s">
        <v>264</v>
      </c>
      <c r="AD89" s="1188" t="s">
        <v>265</v>
      </c>
      <c r="AE89" s="1188" t="s">
        <v>266</v>
      </c>
      <c r="AF89" s="1188" t="s">
        <v>267</v>
      </c>
      <c r="AG89" s="1188"/>
      <c r="AH89" s="1188" t="str">
        <f>IF($E$89=0,"",$E$89)</f>
        <v>Тариф на транспортировку воды</v>
      </c>
      <c r="AI89" s="1188" t="str">
        <f>IF($G$89=0,"",$G$89)</f>
        <v/>
      </c>
      <c r="AJ89" s="1188" t="str">
        <f>IF($J$89=0,"",$J$89)</f>
        <v/>
      </c>
      <c r="AK89" s="1188" t="str">
        <f>IF($K$89="нет","без дифференциации",IF($N$89=0,"",$N$89))</f>
        <v/>
      </c>
      <c r="AL89" s="1188" t="str">
        <f>IF($O$89="нет","без дифференциации",IF($R$89=0,"",$R$89))</f>
        <v/>
      </c>
      <c r="AM89" s="1188" t="str">
        <f>IF($S$89="нет","без дифференциации",IF($V$89=0,"",$V$89))</f>
        <v/>
      </c>
      <c r="AN89" s="1692">
        <f>$I$89</f>
        <v>0</v>
      </c>
      <c r="AO89" s="1188" t="str">
        <f>$I$89&amp;"."&amp;$M$89</f>
        <v>.</v>
      </c>
      <c r="AP89" s="1180" t="str">
        <f>$I$89&amp;"."&amp;$M$89&amp;"."&amp;$Q$89</f>
        <v>..</v>
      </c>
      <c r="AQ89" s="1180" t="str">
        <f>$I$89&amp;"."&amp;$M$89&amp;"."&amp;$Q$89&amp;"."&amp;$U$89</f>
        <v>...</v>
      </c>
      <c r="AR89" s="1271">
        <v>0</v>
      </c>
    </row>
    <row r="90" spans="1:44" s="4284" customFormat="1" ht="17.25" hidden="1" customHeight="1">
      <c r="A90" s="259"/>
      <c r="C90" s="258"/>
      <c r="D90" s="5361"/>
      <c r="E90" s="5350"/>
      <c r="F90" s="5364"/>
      <c r="G90" s="5350"/>
      <c r="H90" s="5353"/>
      <c r="I90" s="5355"/>
      <c r="J90" s="5357"/>
      <c r="K90" s="5349"/>
      <c r="L90" s="5349"/>
      <c r="M90" s="5349"/>
      <c r="N90" s="5360"/>
      <c r="O90" s="5349"/>
      <c r="P90" s="5349"/>
      <c r="Q90" s="5349"/>
      <c r="R90" s="5347"/>
      <c r="S90" s="5349"/>
      <c r="T90" s="1218"/>
      <c r="U90" s="1218"/>
      <c r="V90" s="1218"/>
      <c r="W90" s="1219"/>
      <c r="X90" s="1180"/>
      <c r="Y90" s="1180"/>
      <c r="Z90" s="1180"/>
      <c r="AA90" s="1180"/>
      <c r="AB90" s="1180"/>
      <c r="AC90" s="1180"/>
      <c r="AD90" s="1180"/>
      <c r="AE90" s="1180"/>
      <c r="AF90" s="1180"/>
      <c r="AG90" s="1180"/>
      <c r="AH90" s="1180"/>
      <c r="AI90" s="1180"/>
      <c r="AJ90" s="1180"/>
      <c r="AK90" s="1180"/>
      <c r="AL90" s="1180"/>
      <c r="AM90" s="1180"/>
      <c r="AN90" s="1180"/>
      <c r="AO90" s="1180"/>
      <c r="AP90" s="1180"/>
      <c r="AQ90" s="1180"/>
      <c r="AR90" s="1271">
        <v>0</v>
      </c>
    </row>
    <row r="91" spans="1:44" s="4284" customFormat="1" ht="17.25" hidden="1" customHeight="1">
      <c r="A91" s="259"/>
      <c r="C91" s="258"/>
      <c r="D91" s="5362"/>
      <c r="E91" s="5351"/>
      <c r="F91" s="5364"/>
      <c r="G91" s="5351"/>
      <c r="H91" s="5353"/>
      <c r="I91" s="5355"/>
      <c r="J91" s="5358"/>
      <c r="K91" s="5349"/>
      <c r="L91" s="5349"/>
      <c r="M91" s="5349"/>
      <c r="N91" s="5347"/>
      <c r="O91" s="5349"/>
      <c r="P91" s="1365"/>
      <c r="Q91" s="1218"/>
      <c r="R91" s="1218"/>
      <c r="S91" s="267"/>
      <c r="T91" s="267"/>
      <c r="U91" s="267"/>
      <c r="V91" s="267"/>
      <c r="W91" s="1219"/>
      <c r="X91" s="1180"/>
      <c r="Y91" s="1180"/>
      <c r="Z91" s="1180"/>
      <c r="AA91" s="1180"/>
      <c r="AB91" s="1180"/>
      <c r="AC91" s="1180"/>
      <c r="AD91" s="1180"/>
      <c r="AE91" s="1180"/>
      <c r="AF91" s="1180"/>
      <c r="AG91" s="1180"/>
      <c r="AH91" s="1180"/>
      <c r="AI91" s="1180"/>
      <c r="AJ91" s="1180"/>
      <c r="AK91" s="1180"/>
      <c r="AL91" s="1180"/>
      <c r="AM91" s="1180"/>
      <c r="AN91" s="1180"/>
      <c r="AO91" s="1180"/>
      <c r="AP91" s="1180"/>
      <c r="AQ91" s="1180"/>
      <c r="AR91" s="1271">
        <v>0</v>
      </c>
    </row>
    <row r="92" spans="1:44" s="4284" customFormat="1" ht="17.25" hidden="1" customHeight="1">
      <c r="A92" s="259"/>
      <c r="C92" s="258"/>
      <c r="D92" s="5362"/>
      <c r="E92" s="5351"/>
      <c r="F92" s="5364"/>
      <c r="G92" s="5351"/>
      <c r="H92" s="5353"/>
      <c r="I92" s="5355"/>
      <c r="J92" s="5358"/>
      <c r="K92" s="5349"/>
      <c r="L92" s="1218"/>
      <c r="M92" s="1218"/>
      <c r="N92" s="1218"/>
      <c r="O92" s="1218"/>
      <c r="P92" s="1218"/>
      <c r="Q92" s="1218"/>
      <c r="R92" s="1218"/>
      <c r="S92" s="267"/>
      <c r="T92" s="267"/>
      <c r="U92" s="267"/>
      <c r="V92" s="267"/>
      <c r="W92" s="1219"/>
      <c r="X92" s="1180"/>
      <c r="Y92" s="1180"/>
      <c r="Z92" s="1180"/>
      <c r="AA92" s="1180"/>
      <c r="AB92" s="1180"/>
      <c r="AC92" s="1180"/>
      <c r="AD92" s="1180"/>
      <c r="AE92" s="1180"/>
      <c r="AF92" s="1180"/>
      <c r="AG92" s="1180"/>
      <c r="AH92" s="1180"/>
      <c r="AI92" s="1180"/>
      <c r="AJ92" s="1180"/>
      <c r="AK92" s="1180"/>
      <c r="AL92" s="1180"/>
      <c r="AM92" s="1180"/>
      <c r="AN92" s="1180"/>
      <c r="AO92" s="1180"/>
      <c r="AP92" s="1180"/>
      <c r="AQ92" s="1180"/>
      <c r="AR92" s="1271">
        <v>0</v>
      </c>
    </row>
    <row r="93" spans="1:44" s="4284" customFormat="1" ht="17.25" hidden="1" customHeight="1">
      <c r="A93" s="259"/>
      <c r="C93" s="258"/>
      <c r="D93" s="5362"/>
      <c r="E93" s="5351"/>
      <c r="F93" s="5365"/>
      <c r="G93" s="5351"/>
      <c r="H93" s="1220"/>
      <c r="I93" s="1221"/>
      <c r="J93" s="1221"/>
      <c r="K93" s="1221"/>
      <c r="L93" s="1221"/>
      <c r="M93" s="1221"/>
      <c r="N93" s="1221"/>
      <c r="O93" s="1221"/>
      <c r="P93" s="1221"/>
      <c r="Q93" s="1221"/>
      <c r="R93" s="1221"/>
      <c r="S93" s="1222"/>
      <c r="T93" s="1222"/>
      <c r="U93" s="1222"/>
      <c r="V93" s="1222"/>
      <c r="W93" s="1223"/>
      <c r="X93" s="1180"/>
      <c r="Y93" s="1180"/>
      <c r="Z93" s="1180"/>
      <c r="AA93" s="1180"/>
      <c r="AB93" s="1180"/>
      <c r="AC93" s="1180"/>
      <c r="AD93" s="1180"/>
      <c r="AE93" s="1180"/>
      <c r="AF93" s="1180"/>
      <c r="AG93" s="1180"/>
      <c r="AH93" s="1180"/>
      <c r="AI93" s="1180"/>
      <c r="AJ93" s="1180"/>
      <c r="AK93" s="1180"/>
      <c r="AL93" s="1180"/>
      <c r="AM93" s="1180"/>
      <c r="AN93" s="1180"/>
      <c r="AO93" s="1180"/>
      <c r="AP93" s="1180"/>
      <c r="AQ93" s="1180"/>
      <c r="AR93" s="1271">
        <v>0</v>
      </c>
    </row>
    <row r="94" spans="1:44" s="4284" customFormat="1" ht="17.25" hidden="1" customHeight="1">
      <c r="A94" s="259"/>
      <c r="C94" s="147"/>
      <c r="D94" s="5361">
        <v>4</v>
      </c>
      <c r="E94" s="5350" t="s">
        <v>268</v>
      </c>
      <c r="F94" s="5363" t="s">
        <v>19</v>
      </c>
      <c r="G94" s="5350"/>
      <c r="H94" s="5352"/>
      <c r="I94" s="5354"/>
      <c r="J94" s="5356"/>
      <c r="K94" s="5348"/>
      <c r="L94" s="5348"/>
      <c r="M94" s="5348"/>
      <c r="N94" s="5359"/>
      <c r="O94" s="5348"/>
      <c r="P94" s="5348"/>
      <c r="Q94" s="5348"/>
      <c r="R94" s="5346"/>
      <c r="S94" s="5348"/>
      <c r="T94" s="1364"/>
      <c r="U94" s="1364"/>
      <c r="V94" s="1366"/>
      <c r="W94" s="1217"/>
      <c r="X94" s="1188"/>
      <c r="Y94" s="1188"/>
      <c r="Z94" s="1188"/>
      <c r="AA94" s="1188"/>
      <c r="AB94" s="1188"/>
      <c r="AC94" s="1188" t="s">
        <v>269</v>
      </c>
      <c r="AD94" s="1188" t="s">
        <v>270</v>
      </c>
      <c r="AE94" s="1188" t="s">
        <v>271</v>
      </c>
      <c r="AF94" s="1188" t="s">
        <v>272</v>
      </c>
      <c r="AG94" s="1188"/>
      <c r="AH94" s="1188" t="str">
        <f>IF($E$94=0,"",$E$94)</f>
        <v>Тариф на подвоз воды</v>
      </c>
      <c r="AI94" s="1188" t="str">
        <f>IF($G$94=0,"",$G$94)</f>
        <v/>
      </c>
      <c r="AJ94" s="1188" t="str">
        <f>IF($J$94=0,"",$J$94)</f>
        <v/>
      </c>
      <c r="AK94" s="1188" t="str">
        <f>IF($K$94="нет","без дифференциации",IF($N$94=0,"",$N$94))</f>
        <v/>
      </c>
      <c r="AL94" s="1188" t="str">
        <f>IF($O$94="нет","без дифференциации",IF($R$94=0,"",$R$94))</f>
        <v/>
      </c>
      <c r="AM94" s="1188" t="str">
        <f>IF($S$94="нет","без дифференциации",IF($V$94=0,"",$V$94))</f>
        <v/>
      </c>
      <c r="AN94" s="1692">
        <f>$I$94</f>
        <v>0</v>
      </c>
      <c r="AO94" s="1188" t="str">
        <f>$I$94&amp;"."&amp;$M$94</f>
        <v>.</v>
      </c>
      <c r="AP94" s="1180" t="str">
        <f>$I$94&amp;"."&amp;$M$94&amp;"."&amp;$Q$94</f>
        <v>..</v>
      </c>
      <c r="AQ94" s="1180" t="str">
        <f>$I$94&amp;"."&amp;$M$94&amp;"."&amp;$Q$94&amp;"."&amp;$U$94</f>
        <v>...</v>
      </c>
      <c r="AR94" s="1271">
        <v>0</v>
      </c>
    </row>
    <row r="95" spans="1:44" s="4284" customFormat="1" ht="17.25" hidden="1" customHeight="1">
      <c r="A95" s="259"/>
      <c r="C95" s="258"/>
      <c r="D95" s="5361"/>
      <c r="E95" s="5350"/>
      <c r="F95" s="5364"/>
      <c r="G95" s="5350"/>
      <c r="H95" s="5353"/>
      <c r="I95" s="5355"/>
      <c r="J95" s="5357"/>
      <c r="K95" s="5349"/>
      <c r="L95" s="5349"/>
      <c r="M95" s="5349"/>
      <c r="N95" s="5360"/>
      <c r="O95" s="5349"/>
      <c r="P95" s="5349"/>
      <c r="Q95" s="5349"/>
      <c r="R95" s="5347"/>
      <c r="S95" s="5349"/>
      <c r="T95" s="1218"/>
      <c r="U95" s="1218"/>
      <c r="V95" s="1218"/>
      <c r="W95" s="1219"/>
      <c r="X95" s="1180"/>
      <c r="Y95" s="1180"/>
      <c r="Z95" s="1180"/>
      <c r="AA95" s="1180"/>
      <c r="AB95" s="1180"/>
      <c r="AC95" s="1180"/>
      <c r="AD95" s="1180"/>
      <c r="AE95" s="1180"/>
      <c r="AF95" s="1180"/>
      <c r="AG95" s="1180"/>
      <c r="AH95" s="1180"/>
      <c r="AI95" s="1180"/>
      <c r="AJ95" s="1180"/>
      <c r="AK95" s="1180"/>
      <c r="AL95" s="1180"/>
      <c r="AM95" s="1180"/>
      <c r="AN95" s="1180"/>
      <c r="AO95" s="1180"/>
      <c r="AP95" s="1180"/>
      <c r="AQ95" s="1180"/>
      <c r="AR95" s="1271">
        <v>0</v>
      </c>
    </row>
    <row r="96" spans="1:44" s="4284" customFormat="1" ht="17.25" hidden="1" customHeight="1">
      <c r="A96" s="259"/>
      <c r="C96" s="258"/>
      <c r="D96" s="5362"/>
      <c r="E96" s="5351"/>
      <c r="F96" s="5364"/>
      <c r="G96" s="5351"/>
      <c r="H96" s="5353"/>
      <c r="I96" s="5355"/>
      <c r="J96" s="5358"/>
      <c r="K96" s="5349"/>
      <c r="L96" s="5349"/>
      <c r="M96" s="5349"/>
      <c r="N96" s="5347"/>
      <c r="O96" s="5349"/>
      <c r="P96" s="1365"/>
      <c r="Q96" s="1218"/>
      <c r="R96" s="1218"/>
      <c r="S96" s="267"/>
      <c r="T96" s="267"/>
      <c r="U96" s="267"/>
      <c r="V96" s="267"/>
      <c r="W96" s="1219"/>
      <c r="X96" s="1180"/>
      <c r="Y96" s="1180"/>
      <c r="Z96" s="1180"/>
      <c r="AA96" s="1180"/>
      <c r="AB96" s="1180"/>
      <c r="AC96" s="1180"/>
      <c r="AD96" s="1180"/>
      <c r="AE96" s="1180"/>
      <c r="AF96" s="1180"/>
      <c r="AG96" s="1180"/>
      <c r="AH96" s="1180"/>
      <c r="AI96" s="1180"/>
      <c r="AJ96" s="1180"/>
      <c r="AK96" s="1180"/>
      <c r="AL96" s="1180"/>
      <c r="AM96" s="1180"/>
      <c r="AN96" s="1180"/>
      <c r="AO96" s="1180"/>
      <c r="AP96" s="1180"/>
      <c r="AQ96" s="1180"/>
      <c r="AR96" s="1271">
        <v>0</v>
      </c>
    </row>
    <row r="97" spans="1:44" s="4284" customFormat="1" ht="17.25" hidden="1" customHeight="1">
      <c r="A97" s="259"/>
      <c r="C97" s="258"/>
      <c r="D97" s="5362"/>
      <c r="E97" s="5351"/>
      <c r="F97" s="5364"/>
      <c r="G97" s="5351"/>
      <c r="H97" s="5353"/>
      <c r="I97" s="5355"/>
      <c r="J97" s="5358"/>
      <c r="K97" s="5349"/>
      <c r="L97" s="1218"/>
      <c r="M97" s="1218"/>
      <c r="N97" s="1218"/>
      <c r="O97" s="1218"/>
      <c r="P97" s="1218"/>
      <c r="Q97" s="1218"/>
      <c r="R97" s="1218"/>
      <c r="S97" s="267"/>
      <c r="T97" s="267"/>
      <c r="U97" s="267"/>
      <c r="V97" s="267"/>
      <c r="W97" s="1219"/>
      <c r="X97" s="1180"/>
      <c r="Y97" s="1180"/>
      <c r="Z97" s="1180"/>
      <c r="AA97" s="1180"/>
      <c r="AB97" s="1180"/>
      <c r="AC97" s="1180"/>
      <c r="AD97" s="1180"/>
      <c r="AE97" s="1180"/>
      <c r="AF97" s="1180"/>
      <c r="AG97" s="1180"/>
      <c r="AH97" s="1180"/>
      <c r="AI97" s="1180"/>
      <c r="AJ97" s="1180"/>
      <c r="AK97" s="1180"/>
      <c r="AL97" s="1180"/>
      <c r="AM97" s="1180"/>
      <c r="AN97" s="1180"/>
      <c r="AO97" s="1180"/>
      <c r="AP97" s="1180"/>
      <c r="AQ97" s="1180"/>
      <c r="AR97" s="1271">
        <v>0</v>
      </c>
    </row>
    <row r="98" spans="1:44" s="4284" customFormat="1" ht="17.25" hidden="1" customHeight="1">
      <c r="A98" s="259"/>
      <c r="C98" s="258"/>
      <c r="D98" s="5362"/>
      <c r="E98" s="5351"/>
      <c r="F98" s="5365"/>
      <c r="G98" s="5351"/>
      <c r="H98" s="1220"/>
      <c r="I98" s="1221"/>
      <c r="J98" s="1221"/>
      <c r="K98" s="1221"/>
      <c r="L98" s="1221"/>
      <c r="M98" s="1221"/>
      <c r="N98" s="1221"/>
      <c r="O98" s="1221"/>
      <c r="P98" s="1221"/>
      <c r="Q98" s="1221"/>
      <c r="R98" s="1221"/>
      <c r="S98" s="1222"/>
      <c r="T98" s="1222"/>
      <c r="U98" s="1222"/>
      <c r="V98" s="1222"/>
      <c r="W98" s="1223"/>
      <c r="X98" s="1180"/>
      <c r="Y98" s="1180"/>
      <c r="Z98" s="1180"/>
      <c r="AA98" s="1180"/>
      <c r="AB98" s="1180"/>
      <c r="AC98" s="1180"/>
      <c r="AD98" s="1180"/>
      <c r="AE98" s="1180"/>
      <c r="AF98" s="1180"/>
      <c r="AG98" s="1180"/>
      <c r="AH98" s="1180"/>
      <c r="AI98" s="1180"/>
      <c r="AJ98" s="1180"/>
      <c r="AK98" s="1180"/>
      <c r="AL98" s="1180"/>
      <c r="AM98" s="1180"/>
      <c r="AN98" s="1180"/>
      <c r="AO98" s="1180"/>
      <c r="AP98" s="1180"/>
      <c r="AQ98" s="1180"/>
      <c r="AR98" s="1271">
        <v>0</v>
      </c>
    </row>
    <row r="99" spans="1:44" s="4284" customFormat="1" ht="17.25" hidden="1" customHeight="1">
      <c r="A99" s="259"/>
      <c r="C99" s="147"/>
      <c r="D99" s="5361">
        <v>5</v>
      </c>
      <c r="E99" s="5350" t="s">
        <v>273</v>
      </c>
      <c r="F99" s="5363" t="s">
        <v>19</v>
      </c>
      <c r="G99" s="5350"/>
      <c r="H99" s="5352"/>
      <c r="I99" s="5354"/>
      <c r="J99" s="5356"/>
      <c r="K99" s="5348"/>
      <c r="L99" s="5348"/>
      <c r="M99" s="5348"/>
      <c r="N99" s="5359"/>
      <c r="O99" s="5348"/>
      <c r="P99" s="5348"/>
      <c r="Q99" s="5348"/>
      <c r="R99" s="5346"/>
      <c r="S99" s="5348"/>
      <c r="T99" s="1858"/>
      <c r="U99" s="1858"/>
      <c r="V99" s="1860"/>
      <c r="W99" s="1217"/>
      <c r="X99" s="1188"/>
      <c r="Y99" s="1188"/>
      <c r="Z99" s="1188"/>
      <c r="AA99" s="1188"/>
      <c r="AB99" s="1188"/>
      <c r="AC99" s="1188" t="s">
        <v>274</v>
      </c>
      <c r="AD99" s="1188" t="s">
        <v>275</v>
      </c>
      <c r="AE99" s="1188" t="s">
        <v>276</v>
      </c>
      <c r="AF99" s="1188" t="s">
        <v>277</v>
      </c>
      <c r="AG99" s="1188"/>
      <c r="AH99" s="1188" t="str">
        <f>IF($E$99=0,"",$E$99)</f>
        <v>Тариф на подключение (технологическое присоединение) к централизованной системе холодного водоснабжения</v>
      </c>
      <c r="AI99" s="1188" t="str">
        <f>IF($G$99=0,"",$G$99)</f>
        <v/>
      </c>
      <c r="AJ99" s="1188" t="str">
        <f>IF($J$99=0,"",$J$99)</f>
        <v/>
      </c>
      <c r="AK99" s="1188" t="str">
        <f>IF($K$99="нет","без дифференциации",IF($N$99=0,"",$N$99))</f>
        <v/>
      </c>
      <c r="AL99" s="1188" t="str">
        <f>IF($O$99="нет","без дифференциации",IF($R$99=0,"",$R$99))</f>
        <v/>
      </c>
      <c r="AM99" s="1188" t="str">
        <f>IF($S$99="нет","без дифференциации",IF($V$99=0,"",$V$99))</f>
        <v/>
      </c>
      <c r="AN99" s="1692">
        <f>$I$99</f>
        <v>0</v>
      </c>
      <c r="AO99" s="1188" t="str">
        <f>$I$99&amp;"."&amp;$M$99</f>
        <v>.</v>
      </c>
      <c r="AP99" s="1187" t="str">
        <f>$I$99&amp;"."&amp;$M$99&amp;"."&amp;$Q$99</f>
        <v>..</v>
      </c>
      <c r="AQ99" s="1187" t="str">
        <f>$I$99&amp;"."&amp;$M$99&amp;"."&amp;$Q$99&amp;"."&amp;$U$99</f>
        <v>...</v>
      </c>
      <c r="AR99" s="1388">
        <v>0</v>
      </c>
    </row>
    <row r="100" spans="1:44" s="4284" customFormat="1" ht="17.25" hidden="1" customHeight="1">
      <c r="A100" s="259"/>
      <c r="C100" s="258"/>
      <c r="D100" s="5361"/>
      <c r="E100" s="5350"/>
      <c r="F100" s="5364"/>
      <c r="G100" s="5350"/>
      <c r="H100" s="5353"/>
      <c r="I100" s="5355"/>
      <c r="J100" s="5357"/>
      <c r="K100" s="5349"/>
      <c r="L100" s="5349"/>
      <c r="M100" s="5349"/>
      <c r="N100" s="5360"/>
      <c r="O100" s="5349"/>
      <c r="P100" s="5349"/>
      <c r="Q100" s="5349"/>
      <c r="R100" s="5347"/>
      <c r="S100" s="5349"/>
      <c r="T100" s="1863"/>
      <c r="U100" s="1863"/>
      <c r="V100" s="1863"/>
      <c r="W100" s="1864"/>
      <c r="X100" s="1187"/>
      <c r="Y100" s="1187"/>
      <c r="Z100" s="1187"/>
      <c r="AA100" s="1187"/>
      <c r="AB100" s="1187"/>
      <c r="AC100" s="1187"/>
      <c r="AD100" s="1187"/>
      <c r="AE100" s="1187"/>
      <c r="AF100" s="1187"/>
      <c r="AG100" s="1187"/>
      <c r="AH100" s="1187"/>
      <c r="AI100" s="1187"/>
      <c r="AJ100" s="1187"/>
      <c r="AK100" s="1187"/>
      <c r="AL100" s="1187"/>
      <c r="AM100" s="1187"/>
      <c r="AN100" s="1187"/>
      <c r="AO100" s="1187"/>
      <c r="AP100" s="1187"/>
      <c r="AQ100" s="1187"/>
      <c r="AR100" s="1388">
        <v>0</v>
      </c>
    </row>
    <row r="101" spans="1:44" s="4284" customFormat="1" ht="17.25" hidden="1" customHeight="1">
      <c r="A101" s="259"/>
      <c r="C101" s="258"/>
      <c r="D101" s="5362"/>
      <c r="E101" s="5351"/>
      <c r="F101" s="5364"/>
      <c r="G101" s="5351"/>
      <c r="H101" s="5353"/>
      <c r="I101" s="5355"/>
      <c r="J101" s="5358"/>
      <c r="K101" s="5349"/>
      <c r="L101" s="5349"/>
      <c r="M101" s="5349"/>
      <c r="N101" s="5347"/>
      <c r="O101" s="5349"/>
      <c r="P101" s="1859"/>
      <c r="Q101" s="1863"/>
      <c r="R101" s="1863"/>
      <c r="S101" s="267"/>
      <c r="T101" s="267"/>
      <c r="U101" s="267"/>
      <c r="V101" s="267"/>
      <c r="W101" s="1864"/>
      <c r="X101" s="1187"/>
      <c r="Y101" s="1187"/>
      <c r="Z101" s="1187"/>
      <c r="AA101" s="1187"/>
      <c r="AB101" s="1187"/>
      <c r="AC101" s="1187"/>
      <c r="AD101" s="1187"/>
      <c r="AE101" s="1187"/>
      <c r="AF101" s="1187"/>
      <c r="AG101" s="1187"/>
      <c r="AH101" s="1187"/>
      <c r="AI101" s="1187"/>
      <c r="AJ101" s="1187"/>
      <c r="AK101" s="1187"/>
      <c r="AL101" s="1187"/>
      <c r="AM101" s="1187"/>
      <c r="AN101" s="1187"/>
      <c r="AO101" s="1187"/>
      <c r="AP101" s="1187"/>
      <c r="AQ101" s="1187"/>
      <c r="AR101" s="1388">
        <v>0</v>
      </c>
    </row>
    <row r="102" spans="1:44" s="4284" customFormat="1" ht="17.25" hidden="1" customHeight="1">
      <c r="A102" s="259"/>
      <c r="C102" s="258"/>
      <c r="D102" s="5362"/>
      <c r="E102" s="5351"/>
      <c r="F102" s="5364"/>
      <c r="G102" s="5351"/>
      <c r="H102" s="5353"/>
      <c r="I102" s="5355"/>
      <c r="J102" s="5358"/>
      <c r="K102" s="5349"/>
      <c r="L102" s="1863"/>
      <c r="M102" s="1863"/>
      <c r="N102" s="1863"/>
      <c r="O102" s="1863"/>
      <c r="P102" s="1863"/>
      <c r="Q102" s="1863"/>
      <c r="R102" s="1863"/>
      <c r="S102" s="267"/>
      <c r="T102" s="267"/>
      <c r="U102" s="267"/>
      <c r="V102" s="267"/>
      <c r="W102" s="1864"/>
      <c r="X102" s="1187"/>
      <c r="Y102" s="1187"/>
      <c r="Z102" s="1187"/>
      <c r="AA102" s="1187"/>
      <c r="AB102" s="1187"/>
      <c r="AC102" s="1187"/>
      <c r="AD102" s="1187"/>
      <c r="AE102" s="1187"/>
      <c r="AF102" s="1187"/>
      <c r="AG102" s="1187"/>
      <c r="AH102" s="1187"/>
      <c r="AI102" s="1187"/>
      <c r="AJ102" s="1187"/>
      <c r="AK102" s="1187"/>
      <c r="AL102" s="1187"/>
      <c r="AM102" s="1187"/>
      <c r="AN102" s="1187"/>
      <c r="AO102" s="1187"/>
      <c r="AP102" s="1187"/>
      <c r="AQ102" s="1187"/>
      <c r="AR102" s="1388">
        <v>0</v>
      </c>
    </row>
    <row r="103" spans="1:44" s="4284" customFormat="1" ht="17.25" hidden="1" customHeight="1">
      <c r="A103" s="259"/>
      <c r="C103" s="258"/>
      <c r="D103" s="5362"/>
      <c r="E103" s="5351"/>
      <c r="F103" s="5365"/>
      <c r="G103" s="5351"/>
      <c r="H103" s="1220"/>
      <c r="I103" s="1861"/>
      <c r="J103" s="1861"/>
      <c r="K103" s="1861"/>
      <c r="L103" s="1861"/>
      <c r="M103" s="1861"/>
      <c r="N103" s="1861"/>
      <c r="O103" s="1861"/>
      <c r="P103" s="1861"/>
      <c r="Q103" s="1861"/>
      <c r="R103" s="1861"/>
      <c r="S103" s="1222"/>
      <c r="T103" s="1222"/>
      <c r="U103" s="1222"/>
      <c r="V103" s="1222"/>
      <c r="W103" s="1862"/>
      <c r="X103" s="1187"/>
      <c r="Y103" s="1187"/>
      <c r="Z103" s="1187"/>
      <c r="AA103" s="1187"/>
      <c r="AB103" s="1187"/>
      <c r="AC103" s="1187"/>
      <c r="AD103" s="1187"/>
      <c r="AE103" s="1187"/>
      <c r="AF103" s="1187"/>
      <c r="AG103" s="1187"/>
      <c r="AH103" s="1187"/>
      <c r="AI103" s="1187"/>
      <c r="AJ103" s="1187"/>
      <c r="AK103" s="1187"/>
      <c r="AL103" s="1187"/>
      <c r="AM103" s="1187"/>
      <c r="AN103" s="1187"/>
      <c r="AO103" s="1187"/>
      <c r="AP103" s="1187"/>
      <c r="AQ103" s="1187"/>
      <c r="AR103" s="1388">
        <v>0</v>
      </c>
    </row>
    <row r="104" spans="1:44" s="4284" customFormat="1" ht="11.25" hidden="1" customHeight="1">
      <c r="A104" s="215"/>
      <c r="B104" s="215"/>
      <c r="Y104" s="1180"/>
      <c r="Z104" s="1180"/>
      <c r="AA104" s="1180"/>
      <c r="AB104" s="1180"/>
      <c r="AC104" s="1180"/>
      <c r="AD104" s="1180"/>
      <c r="AE104" s="1180"/>
      <c r="AF104" s="1180"/>
      <c r="AG104" s="1180"/>
      <c r="AH104" s="1180"/>
      <c r="AI104" s="1180"/>
      <c r="AJ104" s="1180"/>
      <c r="AK104" s="1180"/>
      <c r="AL104" s="1180"/>
      <c r="AM104" s="1180"/>
      <c r="AN104" s="1180"/>
      <c r="AO104" s="1180"/>
      <c r="AP104" s="1180"/>
      <c r="AQ104" s="1180"/>
      <c r="AR104" s="1388">
        <v>0</v>
      </c>
    </row>
    <row r="105" spans="1:44" s="4284" customFormat="1" ht="17.25" hidden="1" customHeight="1">
      <c r="A105" s="259"/>
      <c r="C105" s="147"/>
      <c r="D105" s="5361">
        <v>1</v>
      </c>
      <c r="E105" s="5350" t="s">
        <v>278</v>
      </c>
      <c r="F105" s="5363" t="s">
        <v>19</v>
      </c>
      <c r="G105" s="5350"/>
      <c r="H105" s="5352"/>
      <c r="I105" s="5354"/>
      <c r="J105" s="5356"/>
      <c r="K105" s="5348"/>
      <c r="L105" s="5348"/>
      <c r="M105" s="5348"/>
      <c r="N105" s="5359"/>
      <c r="O105" s="5348"/>
      <c r="P105" s="5348"/>
      <c r="Q105" s="5348"/>
      <c r="R105" s="5346"/>
      <c r="S105" s="5348"/>
      <c r="T105" s="1391"/>
      <c r="U105" s="1391"/>
      <c r="V105" s="1393"/>
      <c r="W105" s="1217"/>
      <c r="Y105" s="1188"/>
      <c r="Z105" s="1188"/>
      <c r="AA105" s="1188"/>
      <c r="AB105" s="1188"/>
      <c r="AC105" s="1188" t="s">
        <v>279</v>
      </c>
      <c r="AD105" s="1188" t="s">
        <v>280</v>
      </c>
      <c r="AE105" s="1188" t="s">
        <v>281</v>
      </c>
      <c r="AF105" s="1188" t="s">
        <v>282</v>
      </c>
      <c r="AG105" s="1188"/>
      <c r="AH105" s="1188" t="str">
        <f>IF($E$105=0,"",$E$105)</f>
        <v>Тариф на горячую воду (горячее водоснабжение)</v>
      </c>
      <c r="AI105" s="1188" t="str">
        <f>IF($G$105=0,"",$G$105)</f>
        <v/>
      </c>
      <c r="AJ105" s="1188" t="str">
        <f>IF($J$105=0,"",$J$105)</f>
        <v/>
      </c>
      <c r="AK105" s="1188" t="str">
        <f>IF($K$105="нет","без дифференциации",IF($N$105=0,"",$N$105))</f>
        <v/>
      </c>
      <c r="AL105" s="1188" t="str">
        <f>IF($O$105="нет","без дифференциации",IF($R$105=0,"",$R$105))</f>
        <v/>
      </c>
      <c r="AM105" s="1188" t="str">
        <f>IF($S$105="нет","без дифференциации",IF($V$105=0,"",$V$105))</f>
        <v/>
      </c>
      <c r="AN105" s="1188">
        <f>$I$105</f>
        <v>0</v>
      </c>
      <c r="AO105" s="1188" t="str">
        <f>$I$105&amp;"."&amp;$M$105</f>
        <v>.</v>
      </c>
      <c r="AP105" s="1188" t="str">
        <f>$I$105&amp;"."&amp;$M$105&amp;"."&amp;$Q$105</f>
        <v>..</v>
      </c>
      <c r="AQ105" s="1188" t="str">
        <f>$I$105&amp;"."&amp;$M$105&amp;"."&amp;$Q$105&amp;"."&amp;$U$105</f>
        <v>...</v>
      </c>
      <c r="AR105" s="1388">
        <v>0</v>
      </c>
    </row>
    <row r="106" spans="1:44" s="4284" customFormat="1" ht="17.25" hidden="1" customHeight="1">
      <c r="A106" s="259"/>
      <c r="C106" s="258"/>
      <c r="D106" s="5361"/>
      <c r="E106" s="5350"/>
      <c r="F106" s="5364"/>
      <c r="G106" s="5350"/>
      <c r="H106" s="5353"/>
      <c r="I106" s="5355"/>
      <c r="J106" s="5357"/>
      <c r="K106" s="5349"/>
      <c r="L106" s="5349"/>
      <c r="M106" s="5349"/>
      <c r="N106" s="5360"/>
      <c r="O106" s="5349"/>
      <c r="P106" s="5349"/>
      <c r="Q106" s="5349"/>
      <c r="R106" s="5347"/>
      <c r="S106" s="5349"/>
      <c r="T106" s="1218"/>
      <c r="U106" s="1218"/>
      <c r="V106" s="1218"/>
      <c r="W106" s="1219"/>
      <c r="Y106" s="1180"/>
      <c r="Z106" s="1180"/>
      <c r="AA106" s="1180"/>
      <c r="AB106" s="1180"/>
      <c r="AC106" s="1180"/>
      <c r="AD106" s="1180"/>
      <c r="AE106" s="1180"/>
      <c r="AF106" s="1180"/>
      <c r="AG106" s="1180"/>
      <c r="AH106" s="1180"/>
      <c r="AI106" s="1180"/>
      <c r="AJ106" s="1180"/>
      <c r="AK106" s="1180"/>
      <c r="AL106" s="1180"/>
      <c r="AM106" s="1180"/>
      <c r="AN106" s="1180"/>
      <c r="AO106" s="1180"/>
      <c r="AP106" s="1180"/>
      <c r="AQ106" s="1180"/>
      <c r="AR106" s="1388">
        <v>0</v>
      </c>
    </row>
    <row r="107" spans="1:44" s="4284" customFormat="1" ht="17.25" hidden="1" customHeight="1">
      <c r="A107" s="259"/>
      <c r="C107" s="147"/>
      <c r="D107" s="5361"/>
      <c r="E107" s="5350"/>
      <c r="F107" s="5364"/>
      <c r="G107" s="5350"/>
      <c r="H107" s="5353"/>
      <c r="I107" s="5355"/>
      <c r="J107" s="5358"/>
      <c r="K107" s="5349"/>
      <c r="L107" s="5349"/>
      <c r="M107" s="5349"/>
      <c r="N107" s="5347"/>
      <c r="O107" s="5349"/>
      <c r="P107" s="1392"/>
      <c r="Q107" s="1218"/>
      <c r="R107" s="1218"/>
      <c r="S107" s="267"/>
      <c r="T107" s="267"/>
      <c r="U107" s="267"/>
      <c r="V107" s="267"/>
      <c r="W107" s="1219"/>
      <c r="Y107" s="1188"/>
      <c r="Z107" s="1188"/>
      <c r="AA107" s="1188"/>
      <c r="AB107" s="1188"/>
      <c r="AC107" s="1188"/>
      <c r="AD107" s="1188"/>
      <c r="AE107" s="1188"/>
      <c r="AF107" s="1188"/>
      <c r="AG107" s="1188"/>
      <c r="AH107" s="1188"/>
      <c r="AI107" s="1188"/>
      <c r="AJ107" s="1188"/>
      <c r="AK107" s="1188"/>
      <c r="AL107" s="1188"/>
      <c r="AM107" s="1188"/>
      <c r="AN107" s="1188"/>
      <c r="AO107" s="1188"/>
      <c r="AP107" s="1188"/>
      <c r="AQ107" s="1188"/>
      <c r="AR107" s="1388">
        <v>0</v>
      </c>
    </row>
    <row r="108" spans="1:44" s="4284" customFormat="1" ht="17.25" hidden="1" customHeight="1">
      <c r="A108" s="259"/>
      <c r="C108" s="258"/>
      <c r="D108" s="5361"/>
      <c r="E108" s="5350"/>
      <c r="F108" s="5364"/>
      <c r="G108" s="5350"/>
      <c r="H108" s="5353"/>
      <c r="I108" s="5355"/>
      <c r="J108" s="5358"/>
      <c r="K108" s="5349"/>
      <c r="L108" s="1218"/>
      <c r="M108" s="1218"/>
      <c r="N108" s="1218"/>
      <c r="O108" s="1218"/>
      <c r="P108" s="1218"/>
      <c r="Q108" s="1218"/>
      <c r="R108" s="1218"/>
      <c r="S108" s="267"/>
      <c r="T108" s="267"/>
      <c r="U108" s="267"/>
      <c r="V108" s="267"/>
      <c r="W108" s="1219"/>
      <c r="Y108" s="1180"/>
      <c r="Z108" s="1180"/>
      <c r="AA108" s="1180"/>
      <c r="AB108" s="1180"/>
      <c r="AC108" s="1180"/>
      <c r="AD108" s="1180"/>
      <c r="AE108" s="1180"/>
      <c r="AF108" s="1180"/>
      <c r="AG108" s="1180"/>
      <c r="AH108" s="1180"/>
      <c r="AI108" s="1180"/>
      <c r="AJ108" s="1180"/>
      <c r="AK108" s="1180"/>
      <c r="AL108" s="1180"/>
      <c r="AM108" s="1180"/>
      <c r="AN108" s="1180"/>
      <c r="AO108" s="1180"/>
      <c r="AP108" s="1180"/>
      <c r="AQ108" s="1180"/>
      <c r="AR108" s="1388">
        <v>0</v>
      </c>
    </row>
    <row r="109" spans="1:44" s="4284" customFormat="1" ht="17.25" hidden="1" customHeight="1">
      <c r="A109" s="259"/>
      <c r="C109" s="258"/>
      <c r="D109" s="5362"/>
      <c r="E109" s="5351"/>
      <c r="F109" s="5365"/>
      <c r="G109" s="5351"/>
      <c r="H109" s="1220"/>
      <c r="I109" s="1221"/>
      <c r="J109" s="1221"/>
      <c r="K109" s="1221"/>
      <c r="L109" s="1221"/>
      <c r="M109" s="1221"/>
      <c r="N109" s="1221"/>
      <c r="O109" s="1221"/>
      <c r="P109" s="1221"/>
      <c r="Q109" s="1221"/>
      <c r="R109" s="1221"/>
      <c r="S109" s="1222"/>
      <c r="T109" s="1222"/>
      <c r="U109" s="1222"/>
      <c r="V109" s="1222"/>
      <c r="W109" s="1223"/>
      <c r="Y109" s="1180"/>
      <c r="Z109" s="1180"/>
      <c r="AA109" s="1180"/>
      <c r="AB109" s="1180"/>
      <c r="AC109" s="1180"/>
      <c r="AD109" s="1180"/>
      <c r="AE109" s="1180"/>
      <c r="AF109" s="1180"/>
      <c r="AG109" s="1180"/>
      <c r="AH109" s="1180"/>
      <c r="AI109" s="1180"/>
      <c r="AJ109" s="1180"/>
      <c r="AK109" s="1180"/>
      <c r="AL109" s="1180"/>
      <c r="AM109" s="1180"/>
      <c r="AN109" s="1180"/>
      <c r="AO109" s="1180"/>
      <c r="AP109" s="1180"/>
      <c r="AQ109" s="1180"/>
      <c r="AR109" s="1388">
        <v>0</v>
      </c>
    </row>
    <row r="110" spans="1:44" s="4284" customFormat="1" ht="17.25" hidden="1" customHeight="1">
      <c r="A110" s="259"/>
      <c r="C110" s="147"/>
      <c r="D110" s="5361">
        <v>2</v>
      </c>
      <c r="E110" s="5350" t="s">
        <v>283</v>
      </c>
      <c r="F110" s="5363" t="s">
        <v>19</v>
      </c>
      <c r="G110" s="5350"/>
      <c r="H110" s="5352"/>
      <c r="I110" s="5354"/>
      <c r="J110" s="5356"/>
      <c r="K110" s="5348"/>
      <c r="L110" s="5348"/>
      <c r="M110" s="5348"/>
      <c r="N110" s="5359"/>
      <c r="O110" s="5348"/>
      <c r="P110" s="5348"/>
      <c r="Q110" s="5348"/>
      <c r="R110" s="5346"/>
      <c r="S110" s="5348"/>
      <c r="T110" s="1391"/>
      <c r="U110" s="1391"/>
      <c r="V110" s="1393"/>
      <c r="W110" s="1217"/>
      <c r="X110" s="1188"/>
      <c r="Y110" s="1188"/>
      <c r="Z110" s="1188"/>
      <c r="AA110" s="1188"/>
      <c r="AB110" s="1188"/>
      <c r="AC110" s="1188" t="s">
        <v>284</v>
      </c>
      <c r="AD110" s="1188" t="s">
        <v>285</v>
      </c>
      <c r="AE110" s="1188" t="s">
        <v>286</v>
      </c>
      <c r="AF110" s="1188" t="s">
        <v>287</v>
      </c>
      <c r="AG110" s="1188"/>
      <c r="AH110" s="1188" t="str">
        <f>IF($E$110=0,"",$E$110)</f>
        <v>Тариф на транспортировку горячей воды</v>
      </c>
      <c r="AI110" s="1188" t="str">
        <f>IF($G$110=0,"",$G$110)</f>
        <v/>
      </c>
      <c r="AJ110" s="1188" t="str">
        <f>IF($J$110=0,"",$J$110)</f>
        <v/>
      </c>
      <c r="AK110" s="1188" t="str">
        <f>IF($K$110="нет","без дифференциации",IF($N$110=0,"",$N$110))</f>
        <v/>
      </c>
      <c r="AL110" s="1188" t="str">
        <f>IF($O$110="нет","без дифференциации",IF($R$110=0,"",$R$110))</f>
        <v/>
      </c>
      <c r="AM110" s="1188" t="str">
        <f>IF($S$110="нет","без дифференциации",IF($V$110=0,"",$V$110))</f>
        <v/>
      </c>
      <c r="AN110" s="1692">
        <f>$I$110</f>
        <v>0</v>
      </c>
      <c r="AO110" s="1188" t="str">
        <f>$I$110&amp;"."&amp;$M$110</f>
        <v>.</v>
      </c>
      <c r="AP110" s="1180" t="str">
        <f>$I$110&amp;"."&amp;$M$110&amp;"."&amp;$Q$110</f>
        <v>..</v>
      </c>
      <c r="AQ110" s="1180" t="str">
        <f>$I$110&amp;"."&amp;$M$110&amp;"."&amp;$Q$110&amp;"."&amp;$U$110</f>
        <v>...</v>
      </c>
      <c r="AR110" s="1388">
        <v>0</v>
      </c>
    </row>
    <row r="111" spans="1:44" s="4284" customFormat="1" ht="17.25" hidden="1" customHeight="1">
      <c r="A111" s="259"/>
      <c r="C111" s="258"/>
      <c r="D111" s="5361"/>
      <c r="E111" s="5350"/>
      <c r="F111" s="5364"/>
      <c r="G111" s="5350"/>
      <c r="H111" s="5353"/>
      <c r="I111" s="5355"/>
      <c r="J111" s="5357"/>
      <c r="K111" s="5349"/>
      <c r="L111" s="5349"/>
      <c r="M111" s="5349"/>
      <c r="N111" s="5360"/>
      <c r="O111" s="5349"/>
      <c r="P111" s="5349"/>
      <c r="Q111" s="5349"/>
      <c r="R111" s="5347"/>
      <c r="S111" s="5349"/>
      <c r="T111" s="1218"/>
      <c r="U111" s="1218"/>
      <c r="V111" s="1218"/>
      <c r="W111" s="1219"/>
      <c r="X111" s="1180"/>
      <c r="Y111" s="1180"/>
      <c r="Z111" s="1180"/>
      <c r="AA111" s="1180"/>
      <c r="AB111" s="1180"/>
      <c r="AC111" s="1180"/>
      <c r="AD111" s="1180"/>
      <c r="AE111" s="1180"/>
      <c r="AF111" s="1180"/>
      <c r="AG111" s="1180"/>
      <c r="AH111" s="1180"/>
      <c r="AI111" s="1180"/>
      <c r="AJ111" s="1180"/>
      <c r="AK111" s="1180"/>
      <c r="AL111" s="1180"/>
      <c r="AM111" s="1180"/>
      <c r="AN111" s="1180"/>
      <c r="AO111" s="1180"/>
      <c r="AP111" s="1180"/>
      <c r="AQ111" s="1180"/>
      <c r="AR111" s="1388">
        <v>0</v>
      </c>
    </row>
    <row r="112" spans="1:44" s="4284" customFormat="1" ht="17.25" hidden="1" customHeight="1">
      <c r="A112" s="259"/>
      <c r="C112" s="258"/>
      <c r="D112" s="5362"/>
      <c r="E112" s="5351"/>
      <c r="F112" s="5364"/>
      <c r="G112" s="5351"/>
      <c r="H112" s="5353"/>
      <c r="I112" s="5355"/>
      <c r="J112" s="5358"/>
      <c r="K112" s="5349"/>
      <c r="L112" s="5349"/>
      <c r="M112" s="5349"/>
      <c r="N112" s="5347"/>
      <c r="O112" s="5349"/>
      <c r="P112" s="1392"/>
      <c r="Q112" s="1218"/>
      <c r="R112" s="1218"/>
      <c r="S112" s="267"/>
      <c r="T112" s="267"/>
      <c r="U112" s="267"/>
      <c r="V112" s="267"/>
      <c r="W112" s="1219"/>
      <c r="X112" s="1180"/>
      <c r="Y112" s="1180"/>
      <c r="Z112" s="1180"/>
      <c r="AA112" s="1180"/>
      <c r="AB112" s="1180"/>
      <c r="AC112" s="1180"/>
      <c r="AD112" s="1180"/>
      <c r="AE112" s="1180"/>
      <c r="AF112" s="1180"/>
      <c r="AG112" s="1180"/>
      <c r="AH112" s="1180"/>
      <c r="AI112" s="1180"/>
      <c r="AJ112" s="1180"/>
      <c r="AK112" s="1180"/>
      <c r="AL112" s="1180"/>
      <c r="AM112" s="1180"/>
      <c r="AN112" s="1180"/>
      <c r="AO112" s="1180"/>
      <c r="AP112" s="1180"/>
      <c r="AQ112" s="1180"/>
      <c r="AR112" s="1388">
        <v>0</v>
      </c>
    </row>
    <row r="113" spans="1:44" s="4284" customFormat="1" ht="17.25" hidden="1" customHeight="1">
      <c r="A113" s="259"/>
      <c r="C113" s="258"/>
      <c r="D113" s="5362"/>
      <c r="E113" s="5351"/>
      <c r="F113" s="5364"/>
      <c r="G113" s="5351"/>
      <c r="H113" s="5353"/>
      <c r="I113" s="5355"/>
      <c r="J113" s="5358"/>
      <c r="K113" s="5349"/>
      <c r="L113" s="1218"/>
      <c r="M113" s="1218"/>
      <c r="N113" s="1218"/>
      <c r="O113" s="1218"/>
      <c r="P113" s="1218"/>
      <c r="Q113" s="1218"/>
      <c r="R113" s="1218"/>
      <c r="S113" s="267"/>
      <c r="T113" s="267"/>
      <c r="U113" s="267"/>
      <c r="V113" s="267"/>
      <c r="W113" s="1219"/>
      <c r="X113" s="1180"/>
      <c r="Y113" s="1180"/>
      <c r="Z113" s="1180"/>
      <c r="AA113" s="1180"/>
      <c r="AB113" s="1180"/>
      <c r="AC113" s="1180"/>
      <c r="AD113" s="1180"/>
      <c r="AE113" s="1180"/>
      <c r="AF113" s="1180"/>
      <c r="AG113" s="1180"/>
      <c r="AH113" s="1180"/>
      <c r="AI113" s="1180"/>
      <c r="AJ113" s="1180"/>
      <c r="AK113" s="1180"/>
      <c r="AL113" s="1180"/>
      <c r="AM113" s="1180"/>
      <c r="AN113" s="1180"/>
      <c r="AO113" s="1180"/>
      <c r="AP113" s="1180"/>
      <c r="AQ113" s="1180"/>
      <c r="AR113" s="1388">
        <v>0</v>
      </c>
    </row>
    <row r="114" spans="1:44" s="4284" customFormat="1" ht="17.25" hidden="1" customHeight="1">
      <c r="A114" s="259"/>
      <c r="C114" s="258"/>
      <c r="D114" s="5362"/>
      <c r="E114" s="5351"/>
      <c r="F114" s="5365"/>
      <c r="G114" s="5351"/>
      <c r="H114" s="1220"/>
      <c r="I114" s="1221"/>
      <c r="J114" s="1221"/>
      <c r="K114" s="1221"/>
      <c r="L114" s="1221"/>
      <c r="M114" s="1221"/>
      <c r="N114" s="1221"/>
      <c r="O114" s="1221"/>
      <c r="P114" s="1221"/>
      <c r="Q114" s="1221"/>
      <c r="R114" s="1221"/>
      <c r="S114" s="1222"/>
      <c r="T114" s="1222"/>
      <c r="U114" s="1222"/>
      <c r="V114" s="1222"/>
      <c r="W114" s="1223"/>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c r="AR114" s="1388">
        <v>0</v>
      </c>
    </row>
    <row r="115" spans="1:44" s="4284" customFormat="1" ht="17.25" hidden="1" customHeight="1">
      <c r="A115" s="259"/>
      <c r="C115" s="147"/>
      <c r="D115" s="5361">
        <v>3</v>
      </c>
      <c r="E115" s="5350" t="s">
        <v>288</v>
      </c>
      <c r="F115" s="5363" t="s">
        <v>19</v>
      </c>
      <c r="G115" s="5350"/>
      <c r="H115" s="5352"/>
      <c r="I115" s="5354"/>
      <c r="J115" s="5356"/>
      <c r="K115" s="5348"/>
      <c r="L115" s="5348"/>
      <c r="M115" s="5348"/>
      <c r="N115" s="5359"/>
      <c r="O115" s="5348"/>
      <c r="P115" s="5348"/>
      <c r="Q115" s="5348"/>
      <c r="R115" s="5346"/>
      <c r="S115" s="5348"/>
      <c r="T115" s="1858"/>
      <c r="U115" s="1858"/>
      <c r="V115" s="1860"/>
      <c r="W115" s="1217"/>
      <c r="X115" s="1188"/>
      <c r="Y115" s="1188"/>
      <c r="Z115" s="1188"/>
      <c r="AA115" s="1188"/>
      <c r="AB115" s="1188"/>
      <c r="AC115" s="1188" t="s">
        <v>289</v>
      </c>
      <c r="AD115" s="1188" t="s">
        <v>290</v>
      </c>
      <c r="AE115" s="1188" t="s">
        <v>291</v>
      </c>
      <c r="AF115" s="1188" t="s">
        <v>292</v>
      </c>
      <c r="AG115" s="1188"/>
      <c r="AH115" s="1188" t="str">
        <f>IF($E$115=0,"",$E$115)</f>
        <v>Тариф на подключение (технологическое присоединение) к централизованной системе горячего водоснабжения</v>
      </c>
      <c r="AI115" s="1188" t="str">
        <f>IF($G$115=0,"",$G$115)</f>
        <v/>
      </c>
      <c r="AJ115" s="1188" t="str">
        <f>IF($J$115=0,"",$J$115)</f>
        <v/>
      </c>
      <c r="AK115" s="1188" t="str">
        <f>IF($K$115="нет","без дифференциации",IF($N$115=0,"",$N$115))</f>
        <v/>
      </c>
      <c r="AL115" s="1188" t="str">
        <f>IF($O$115="нет","без дифференциации",IF($R$115=0,"",$R$115))</f>
        <v/>
      </c>
      <c r="AM115" s="1188" t="str">
        <f>IF($S$115="нет","без дифференциации",IF($V$115=0,"",$V$115))</f>
        <v/>
      </c>
      <c r="AN115" s="1692">
        <f>$I$115</f>
        <v>0</v>
      </c>
      <c r="AO115" s="1188" t="str">
        <f>$I$115&amp;"."&amp;$M$115</f>
        <v>.</v>
      </c>
      <c r="AP115" s="1187" t="str">
        <f>$I$115&amp;"."&amp;$M$115&amp;"."&amp;$Q$115</f>
        <v>..</v>
      </c>
      <c r="AQ115" s="1187" t="str">
        <f>$I$115&amp;"."&amp;$M$115&amp;"."&amp;$Q$115&amp;"."&amp;$U$115</f>
        <v>...</v>
      </c>
      <c r="AR115" s="1388">
        <v>0</v>
      </c>
    </row>
    <row r="116" spans="1:44" s="4284" customFormat="1" ht="17.25" hidden="1" customHeight="1">
      <c r="A116" s="259"/>
      <c r="C116" s="258"/>
      <c r="D116" s="5361"/>
      <c r="E116" s="5350"/>
      <c r="F116" s="5364"/>
      <c r="G116" s="5350"/>
      <c r="H116" s="5353"/>
      <c r="I116" s="5355"/>
      <c r="J116" s="5357"/>
      <c r="K116" s="5349"/>
      <c r="L116" s="5349"/>
      <c r="M116" s="5349"/>
      <c r="N116" s="5360"/>
      <c r="O116" s="5349"/>
      <c r="P116" s="5349"/>
      <c r="Q116" s="5349"/>
      <c r="R116" s="5347"/>
      <c r="S116" s="5349"/>
      <c r="T116" s="1863"/>
      <c r="U116" s="1863"/>
      <c r="V116" s="1863"/>
      <c r="W116" s="1864"/>
      <c r="X116" s="1187"/>
      <c r="Y116" s="1187"/>
      <c r="Z116" s="1187"/>
      <c r="AA116" s="1187"/>
      <c r="AB116" s="1187"/>
      <c r="AC116" s="1187"/>
      <c r="AD116" s="1187"/>
      <c r="AE116" s="1187"/>
      <c r="AF116" s="1187"/>
      <c r="AG116" s="1187"/>
      <c r="AH116" s="1187"/>
      <c r="AI116" s="1187"/>
      <c r="AJ116" s="1187"/>
      <c r="AK116" s="1187"/>
      <c r="AL116" s="1187"/>
      <c r="AM116" s="1187"/>
      <c r="AN116" s="1187"/>
      <c r="AO116" s="1187"/>
      <c r="AP116" s="1187"/>
      <c r="AQ116" s="1187"/>
      <c r="AR116" s="1388">
        <v>0</v>
      </c>
    </row>
    <row r="117" spans="1:44" s="4284" customFormat="1" ht="17.25" hidden="1" customHeight="1">
      <c r="A117" s="259"/>
      <c r="C117" s="258"/>
      <c r="D117" s="5362"/>
      <c r="E117" s="5351"/>
      <c r="F117" s="5364"/>
      <c r="G117" s="5351"/>
      <c r="H117" s="5353"/>
      <c r="I117" s="5355"/>
      <c r="J117" s="5358"/>
      <c r="K117" s="5349"/>
      <c r="L117" s="5349"/>
      <c r="M117" s="5349"/>
      <c r="N117" s="5347"/>
      <c r="O117" s="5349"/>
      <c r="P117" s="1859"/>
      <c r="Q117" s="1863"/>
      <c r="R117" s="1863"/>
      <c r="S117" s="267"/>
      <c r="T117" s="267"/>
      <c r="U117" s="267"/>
      <c r="V117" s="267"/>
      <c r="W117" s="1864"/>
      <c r="X117" s="1187"/>
      <c r="Y117" s="1187"/>
      <c r="Z117" s="1187"/>
      <c r="AA117" s="1187"/>
      <c r="AB117" s="1187"/>
      <c r="AC117" s="1187"/>
      <c r="AD117" s="1187"/>
      <c r="AE117" s="1187"/>
      <c r="AF117" s="1187"/>
      <c r="AG117" s="1187"/>
      <c r="AH117" s="1187"/>
      <c r="AI117" s="1187"/>
      <c r="AJ117" s="1187"/>
      <c r="AK117" s="1187"/>
      <c r="AL117" s="1187"/>
      <c r="AM117" s="1187"/>
      <c r="AN117" s="1187"/>
      <c r="AO117" s="1187"/>
      <c r="AP117" s="1187"/>
      <c r="AQ117" s="1187"/>
      <c r="AR117" s="1388">
        <v>0</v>
      </c>
    </row>
    <row r="118" spans="1:44" s="4284" customFormat="1" ht="17.25" hidden="1" customHeight="1">
      <c r="A118" s="259"/>
      <c r="C118" s="258"/>
      <c r="D118" s="5362"/>
      <c r="E118" s="5351"/>
      <c r="F118" s="5364"/>
      <c r="G118" s="5351"/>
      <c r="H118" s="5353"/>
      <c r="I118" s="5355"/>
      <c r="J118" s="5358"/>
      <c r="K118" s="5349"/>
      <c r="L118" s="1863"/>
      <c r="M118" s="1863"/>
      <c r="N118" s="1863"/>
      <c r="O118" s="1863"/>
      <c r="P118" s="1863"/>
      <c r="Q118" s="1863"/>
      <c r="R118" s="1863"/>
      <c r="S118" s="267"/>
      <c r="T118" s="267"/>
      <c r="U118" s="267"/>
      <c r="V118" s="267"/>
      <c r="W118" s="1864"/>
      <c r="X118" s="1187"/>
      <c r="Y118" s="1187"/>
      <c r="Z118" s="1187"/>
      <c r="AA118" s="1187"/>
      <c r="AB118" s="1187"/>
      <c r="AC118" s="1187"/>
      <c r="AD118" s="1187"/>
      <c r="AE118" s="1187"/>
      <c r="AF118" s="1187"/>
      <c r="AG118" s="1187"/>
      <c r="AH118" s="1187"/>
      <c r="AI118" s="1187"/>
      <c r="AJ118" s="1187"/>
      <c r="AK118" s="1187"/>
      <c r="AL118" s="1187"/>
      <c r="AM118" s="1187"/>
      <c r="AN118" s="1187"/>
      <c r="AO118" s="1187"/>
      <c r="AP118" s="1187"/>
      <c r="AQ118" s="1187"/>
      <c r="AR118" s="1388">
        <v>0</v>
      </c>
    </row>
    <row r="119" spans="1:44" s="4284" customFormat="1" ht="17.25" hidden="1" customHeight="1">
      <c r="A119" s="259"/>
      <c r="C119" s="258"/>
      <c r="D119" s="5362"/>
      <c r="E119" s="5351"/>
      <c r="F119" s="5365"/>
      <c r="G119" s="5351"/>
      <c r="H119" s="1220"/>
      <c r="I119" s="1861"/>
      <c r="J119" s="1861"/>
      <c r="K119" s="1861"/>
      <c r="L119" s="1861"/>
      <c r="M119" s="1861"/>
      <c r="N119" s="1861"/>
      <c r="O119" s="1861"/>
      <c r="P119" s="1861"/>
      <c r="Q119" s="1861"/>
      <c r="R119" s="1861"/>
      <c r="S119" s="1222"/>
      <c r="T119" s="1222"/>
      <c r="U119" s="1222"/>
      <c r="V119" s="1222"/>
      <c r="W119" s="1862"/>
      <c r="X119" s="1187"/>
      <c r="Y119" s="1187"/>
      <c r="Z119" s="1187"/>
      <c r="AA119" s="1187"/>
      <c r="AB119" s="1187"/>
      <c r="AC119" s="1187"/>
      <c r="AD119" s="1187"/>
      <c r="AE119" s="1187"/>
      <c r="AF119" s="1187"/>
      <c r="AG119" s="1187"/>
      <c r="AH119" s="1187"/>
      <c r="AI119" s="1187"/>
      <c r="AJ119" s="1187"/>
      <c r="AK119" s="1187"/>
      <c r="AL119" s="1187"/>
      <c r="AM119" s="1187"/>
      <c r="AN119" s="1187"/>
      <c r="AO119" s="1187"/>
      <c r="AP119" s="1187"/>
      <c r="AQ119" s="1187"/>
      <c r="AR119" s="1388">
        <v>0</v>
      </c>
    </row>
    <row r="120" spans="1:44" s="4284" customFormat="1" ht="11.25" hidden="1" customHeight="1">
      <c r="A120" s="215"/>
      <c r="B120" s="215"/>
      <c r="Y120" s="1180"/>
      <c r="Z120" s="1180"/>
      <c r="AA120" s="1180"/>
      <c r="AB120" s="1180"/>
      <c r="AC120" s="1180"/>
      <c r="AD120" s="1180"/>
      <c r="AE120" s="1180"/>
      <c r="AF120" s="1180"/>
      <c r="AG120" s="1180"/>
      <c r="AH120" s="1180"/>
      <c r="AI120" s="1180"/>
      <c r="AJ120" s="1180"/>
      <c r="AK120" s="1180"/>
      <c r="AL120" s="1180"/>
      <c r="AM120" s="1180"/>
      <c r="AN120" s="1180"/>
      <c r="AO120" s="1180"/>
      <c r="AP120" s="1180"/>
      <c r="AQ120" s="1180"/>
      <c r="AR120" s="1388">
        <v>0</v>
      </c>
    </row>
    <row r="121" spans="1:44" s="4284" customFormat="1" ht="17.25" customHeight="1">
      <c r="A121" s="259"/>
      <c r="C121" s="147"/>
      <c r="D121" s="5361">
        <v>1</v>
      </c>
      <c r="E121" s="5350" t="s">
        <v>293</v>
      </c>
      <c r="F121" s="5363" t="s">
        <v>66</v>
      </c>
      <c r="G121" s="5368" t="str">
        <f>INDEX(VD_NAME_LIST,MATCH("4189714",VD_ID_LIST,0))</f>
        <v>Водоотведение</v>
      </c>
      <c r="H121" s="5395"/>
      <c r="I121" s="5395">
        <v>1</v>
      </c>
      <c r="J121" s="5396" t="s">
        <v>293</v>
      </c>
      <c r="K121" s="5399" t="s">
        <v>66</v>
      </c>
      <c r="L121" s="5339"/>
      <c r="M121" s="5339" t="s">
        <v>136</v>
      </c>
      <c r="N121" s="5391" t="str">
        <f>IF(Z121="","",INDEX(TERRITORY_MR_LIST,MATCH(Z121,TERRITORY_LIST_ID,0)))</f>
        <v>Территория 1</v>
      </c>
      <c r="O121" s="5399" t="s">
        <v>66</v>
      </c>
      <c r="P121" s="5339"/>
      <c r="Q121" s="5339" t="s">
        <v>136</v>
      </c>
      <c r="R121" s="5401" t="s">
        <v>294</v>
      </c>
      <c r="S121" s="5394" t="s">
        <v>19</v>
      </c>
      <c r="T121" s="2012"/>
      <c r="U121" s="2012" t="s">
        <v>136</v>
      </c>
      <c r="V121" s="2013"/>
      <c r="W121" s="5396"/>
      <c r="Y121" s="1188"/>
      <c r="Z121" s="1188" t="s">
        <v>98</v>
      </c>
      <c r="AA121" s="1188"/>
      <c r="AB121" s="1188" t="s">
        <v>295</v>
      </c>
      <c r="AC121" s="1188" t="s">
        <v>296</v>
      </c>
      <c r="AD121" s="1188" t="s">
        <v>297</v>
      </c>
      <c r="AE121" s="1188" t="s">
        <v>298</v>
      </c>
      <c r="AF121" s="1188" t="s">
        <v>299</v>
      </c>
      <c r="AG121" s="1188"/>
      <c r="AH121" s="1188" t="str">
        <f>IF($E$121=0,"",$E$121)</f>
        <v>Тариф на водоотведение</v>
      </c>
      <c r="AI121" s="1188" t="str">
        <f>IF($G$121=0,"",$G$121)</f>
        <v>Водоотведение</v>
      </c>
      <c r="AJ121" s="1188" t="str">
        <f>IF($J$121=0,"",$J$121)</f>
        <v>Тариф на водоотведение</v>
      </c>
      <c r="AK121" s="1188" t="str">
        <f>IF($K$121="нет","без дифференциации",IF($N$121=0,"",$N$121))</f>
        <v>Территория 1</v>
      </c>
      <c r="AL121" s="1188" t="str">
        <f>IF($O$121="нет","без дифференциации",IF($R$121=0,"",$R$121))</f>
        <v>с. Барабаш, с. Занадворовка</v>
      </c>
      <c r="AM121" s="1188" t="str">
        <f>IF($S$121="нет","без дифференциации",IF($V$121=0,"",$V$121))</f>
        <v>без дифференциации</v>
      </c>
      <c r="AN121" s="1188">
        <f>$I$121</f>
        <v>1</v>
      </c>
      <c r="AO121" s="1188" t="str">
        <f>$I$121&amp;"."&amp;$M$121</f>
        <v>1.1</v>
      </c>
      <c r="AP121" s="1188" t="str">
        <f>$I$121&amp;"."&amp;$M$121&amp;"."&amp;$Q$121</f>
        <v>1.1.1</v>
      </c>
      <c r="AQ121" s="1188" t="str">
        <f>$I$121&amp;"."&amp;$M$121&amp;"."&amp;$Q$121&amp;"."&amp;$U$121</f>
        <v>1.1.1.1</v>
      </c>
      <c r="AR121" s="1388">
        <v>0</v>
      </c>
    </row>
    <row r="122" spans="1:44" s="4284" customFormat="1" ht="17.25" customHeight="1">
      <c r="A122" s="259"/>
      <c r="C122" s="258"/>
      <c r="D122" s="5361"/>
      <c r="E122" s="5350"/>
      <c r="F122" s="5364"/>
      <c r="G122" s="5368"/>
      <c r="H122" s="5395"/>
      <c r="I122" s="5395"/>
      <c r="J122" s="5396"/>
      <c r="K122" s="5400"/>
      <c r="L122" s="5339"/>
      <c r="M122" s="5339"/>
      <c r="N122" s="5391"/>
      <c r="O122" s="5400"/>
      <c r="P122" s="5339"/>
      <c r="Q122" s="5339"/>
      <c r="R122" s="5401"/>
      <c r="S122" s="5394"/>
      <c r="T122" s="2014"/>
      <c r="U122" s="2015"/>
      <c r="V122" s="2015"/>
      <c r="W122" s="5396"/>
      <c r="Y122" s="1180"/>
      <c r="Z122" s="1180"/>
      <c r="AA122" s="1180"/>
      <c r="AB122" s="1180"/>
      <c r="AC122" s="1180"/>
      <c r="AD122" s="1180"/>
      <c r="AE122" s="1180"/>
      <c r="AF122" s="1180"/>
      <c r="AG122" s="1180"/>
      <c r="AH122" s="1180"/>
      <c r="AI122" s="1180"/>
      <c r="AJ122" s="1180"/>
      <c r="AK122" s="1180"/>
      <c r="AL122" s="1180"/>
      <c r="AM122" s="1180"/>
      <c r="AN122" s="1180"/>
      <c r="AO122" s="1180"/>
      <c r="AP122" s="1180"/>
      <c r="AQ122" s="1180"/>
      <c r="AR122" s="1388">
        <v>0</v>
      </c>
    </row>
    <row r="123" spans="1:44" ht="17.25" customHeight="1">
      <c r="A123" s="1758"/>
      <c r="B123" s="2016"/>
      <c r="C123" s="1760"/>
      <c r="D123" s="5366"/>
      <c r="E123" s="5367"/>
      <c r="F123" s="5364"/>
      <c r="G123" s="5369"/>
      <c r="H123" s="5366"/>
      <c r="I123" s="5366"/>
      <c r="J123" s="5397"/>
      <c r="K123" s="5369"/>
      <c r="L123" s="5366"/>
      <c r="M123" s="5366"/>
      <c r="N123" s="5392"/>
      <c r="O123" s="5400"/>
      <c r="P123" s="5339" t="s">
        <v>104</v>
      </c>
      <c r="Q123" s="5339" t="s">
        <v>103</v>
      </c>
      <c r="R123" s="5401" t="s">
        <v>300</v>
      </c>
      <c r="S123" s="5394" t="s">
        <v>19</v>
      </c>
      <c r="T123" s="1722"/>
      <c r="U123" s="1722" t="s">
        <v>136</v>
      </c>
      <c r="V123" s="1355"/>
      <c r="W123" s="5396"/>
      <c r="X123" s="2016"/>
      <c r="Y123" s="1188"/>
      <c r="Z123" s="1188"/>
      <c r="AA123" s="1188"/>
      <c r="AB123" s="1188"/>
      <c r="AC123" s="2017" t="s">
        <v>296</v>
      </c>
      <c r="AD123" s="2017" t="s">
        <v>297</v>
      </c>
      <c r="AE123" s="2017" t="s">
        <v>298</v>
      </c>
      <c r="AF123" s="1188" t="s">
        <v>301</v>
      </c>
      <c r="AG123" s="1188" t="s">
        <v>302</v>
      </c>
      <c r="AH123" s="1188" t="str">
        <f>IF($E$121=0,"",$E$121)</f>
        <v>Тариф на водоотведение</v>
      </c>
      <c r="AI123" s="1188" t="str">
        <f>IF($G$121=0,"",$G$121)</f>
        <v>Водоотведение</v>
      </c>
      <c r="AJ123" s="1188" t="str">
        <f>IF($J$121=0,"",$J$121)</f>
        <v>Тариф на водоотведение</v>
      </c>
      <c r="AK123" s="1188" t="str">
        <f>IF($K$121="нет","без дифференциации",IF($N$121=0,"",$N$121))</f>
        <v>Территория 1</v>
      </c>
      <c r="AL123" s="1762" t="str">
        <f>IF($O$123="нет","без дифференциации",IF($R$123=0,"",$R$123))</f>
        <v>с. Безверхово, п. Перевозное</v>
      </c>
      <c r="AM123" s="1762"/>
      <c r="AN123" s="1188">
        <f>$I$121</f>
        <v>1</v>
      </c>
      <c r="AO123" s="1188" t="str">
        <f>$I$121&amp;"."&amp;$M$121</f>
        <v>1.1</v>
      </c>
      <c r="AP123" s="1188" t="str">
        <f>$I$121&amp;"."&amp;$M$121&amp;"."&amp;$Q$123</f>
        <v>1.1.2</v>
      </c>
      <c r="AQ123" s="1188"/>
      <c r="AR123" s="2016"/>
    </row>
    <row r="124" spans="1:44" ht="17.25" customHeight="1">
      <c r="A124" s="1758"/>
      <c r="B124" s="2016"/>
      <c r="C124" s="1763"/>
      <c r="D124" s="5366"/>
      <c r="E124" s="5367"/>
      <c r="F124" s="5364"/>
      <c r="G124" s="5369"/>
      <c r="H124" s="5366"/>
      <c r="I124" s="5366"/>
      <c r="J124" s="5397"/>
      <c r="K124" s="5369"/>
      <c r="L124" s="5366"/>
      <c r="M124" s="5366"/>
      <c r="N124" s="5392"/>
      <c r="O124" s="5400"/>
      <c r="P124" s="5339"/>
      <c r="Q124" s="5339"/>
      <c r="R124" s="5401"/>
      <c r="S124" s="5394"/>
      <c r="T124" s="1356"/>
      <c r="U124" s="1357"/>
      <c r="V124" s="1357"/>
      <c r="W124" s="5396"/>
      <c r="X124" s="2016"/>
      <c r="Y124" s="1180"/>
      <c r="Z124" s="1180"/>
      <c r="AA124" s="1180"/>
      <c r="AB124" s="1180"/>
      <c r="AC124" s="1180"/>
      <c r="AD124" s="1180"/>
      <c r="AE124" s="1180"/>
      <c r="AF124" s="1180"/>
      <c r="AG124" s="1180"/>
      <c r="AH124" s="1180"/>
      <c r="AI124" s="1180"/>
      <c r="AJ124" s="1180"/>
      <c r="AK124" s="1180"/>
      <c r="AL124" s="2016"/>
      <c r="AM124" s="2016"/>
      <c r="AN124" s="2016"/>
      <c r="AO124" s="2016"/>
      <c r="AP124" s="2016"/>
      <c r="AQ124" s="2016"/>
      <c r="AR124" s="2016"/>
    </row>
    <row r="125" spans="1:44" ht="17.25" customHeight="1">
      <c r="A125" s="1758"/>
      <c r="B125" s="2016"/>
      <c r="C125" s="1760"/>
      <c r="D125" s="5366"/>
      <c r="E125" s="5367"/>
      <c r="F125" s="5364"/>
      <c r="G125" s="5369"/>
      <c r="H125" s="5366"/>
      <c r="I125" s="5366"/>
      <c r="J125" s="5397"/>
      <c r="K125" s="5369"/>
      <c r="L125" s="5366"/>
      <c r="M125" s="5366"/>
      <c r="N125" s="5392"/>
      <c r="O125" s="5400"/>
      <c r="P125" s="5339" t="s">
        <v>104</v>
      </c>
      <c r="Q125" s="5339" t="s">
        <v>90</v>
      </c>
      <c r="R125" s="5401" t="s">
        <v>303</v>
      </c>
      <c r="S125" s="5394" t="s">
        <v>19</v>
      </c>
      <c r="T125" s="1722"/>
      <c r="U125" s="1722" t="s">
        <v>136</v>
      </c>
      <c r="V125" s="1355"/>
      <c r="W125" s="5396"/>
      <c r="X125" s="2016"/>
      <c r="Y125" s="1188"/>
      <c r="Z125" s="1188"/>
      <c r="AA125" s="1188"/>
      <c r="AB125" s="1188"/>
      <c r="AC125" s="2017" t="s">
        <v>296</v>
      </c>
      <c r="AD125" s="2017" t="s">
        <v>297</v>
      </c>
      <c r="AE125" s="2017" t="s">
        <v>298</v>
      </c>
      <c r="AF125" s="1188" t="s">
        <v>304</v>
      </c>
      <c r="AG125" s="1188" t="s">
        <v>305</v>
      </c>
      <c r="AH125" s="1188" t="str">
        <f>IF($E$121=0,"",$E$121)</f>
        <v>Тариф на водоотведение</v>
      </c>
      <c r="AI125" s="1188" t="str">
        <f>IF($G$121=0,"",$G$121)</f>
        <v>Водоотведение</v>
      </c>
      <c r="AJ125" s="1188" t="str">
        <f>IF($J$121=0,"",$J$121)</f>
        <v>Тариф на водоотведение</v>
      </c>
      <c r="AK125" s="1188" t="str">
        <f>IF($K$121="нет","без дифференциации",IF($N$121=0,"",$N$121))</f>
        <v>Территория 1</v>
      </c>
      <c r="AL125" s="1762" t="str">
        <f>IF($O$125="нет","без дифференциации",IF($R$125=0,"",$R$125))</f>
        <v>пгт. Краскино</v>
      </c>
      <c r="AM125" s="1762"/>
      <c r="AN125" s="1188">
        <f>$I$121</f>
        <v>1</v>
      </c>
      <c r="AO125" s="1188" t="str">
        <f>$I$121&amp;"."&amp;$M$121</f>
        <v>1.1</v>
      </c>
      <c r="AP125" s="1188" t="str">
        <f>$I$121&amp;"."&amp;$M$121&amp;"."&amp;$Q$125</f>
        <v>1.1.3</v>
      </c>
      <c r="AQ125" s="1188"/>
      <c r="AR125" s="2016"/>
    </row>
    <row r="126" spans="1:44" ht="17.25" customHeight="1">
      <c r="A126" s="1758"/>
      <c r="B126" s="2016"/>
      <c r="C126" s="1763"/>
      <c r="D126" s="5366"/>
      <c r="E126" s="5367"/>
      <c r="F126" s="5364"/>
      <c r="G126" s="5369"/>
      <c r="H126" s="5366"/>
      <c r="I126" s="5366"/>
      <c r="J126" s="5397"/>
      <c r="K126" s="5369"/>
      <c r="L126" s="5366"/>
      <c r="M126" s="5366"/>
      <c r="N126" s="5392"/>
      <c r="O126" s="5400"/>
      <c r="P126" s="5339"/>
      <c r="Q126" s="5339"/>
      <c r="R126" s="5401"/>
      <c r="S126" s="5394"/>
      <c r="T126" s="1356"/>
      <c r="U126" s="1357"/>
      <c r="V126" s="1357"/>
      <c r="W126" s="5396"/>
      <c r="X126" s="2016"/>
      <c r="Y126" s="1180"/>
      <c r="Z126" s="1180"/>
      <c r="AA126" s="1180"/>
      <c r="AB126" s="1180"/>
      <c r="AC126" s="1180"/>
      <c r="AD126" s="1180"/>
      <c r="AE126" s="1180"/>
      <c r="AF126" s="1180"/>
      <c r="AG126" s="1180"/>
      <c r="AH126" s="1180"/>
      <c r="AI126" s="1180"/>
      <c r="AJ126" s="1180"/>
      <c r="AK126" s="1180"/>
      <c r="AL126" s="2016"/>
      <c r="AM126" s="2016"/>
      <c r="AN126" s="2016"/>
      <c r="AO126" s="2016"/>
      <c r="AP126" s="2016"/>
      <c r="AQ126" s="2016"/>
      <c r="AR126" s="2016"/>
    </row>
    <row r="127" spans="1:44" ht="17.25" customHeight="1">
      <c r="A127" s="1758"/>
      <c r="B127" s="2016"/>
      <c r="C127" s="1760"/>
      <c r="D127" s="5366"/>
      <c r="E127" s="5367"/>
      <c r="F127" s="5364"/>
      <c r="G127" s="5369"/>
      <c r="H127" s="5366"/>
      <c r="I127" s="5366"/>
      <c r="J127" s="5397"/>
      <c r="K127" s="5369"/>
      <c r="L127" s="5366"/>
      <c r="M127" s="5366"/>
      <c r="N127" s="5392"/>
      <c r="O127" s="5400"/>
      <c r="P127" s="5339" t="s">
        <v>104</v>
      </c>
      <c r="Q127" s="5339" t="s">
        <v>91</v>
      </c>
      <c r="R127" s="5401" t="s">
        <v>306</v>
      </c>
      <c r="S127" s="5394" t="s">
        <v>19</v>
      </c>
      <c r="T127" s="1722"/>
      <c r="U127" s="1722" t="s">
        <v>136</v>
      </c>
      <c r="V127" s="1355"/>
      <c r="W127" s="5396"/>
      <c r="X127" s="2016"/>
      <c r="Y127" s="1188"/>
      <c r="Z127" s="1188"/>
      <c r="AA127" s="1188"/>
      <c r="AB127" s="1188"/>
      <c r="AC127" s="2017" t="s">
        <v>296</v>
      </c>
      <c r="AD127" s="2017" t="s">
        <v>297</v>
      </c>
      <c r="AE127" s="2017" t="s">
        <v>298</v>
      </c>
      <c r="AF127" s="1188" t="s">
        <v>307</v>
      </c>
      <c r="AG127" s="1188" t="s">
        <v>308</v>
      </c>
      <c r="AH127" s="1188" t="str">
        <f>IF($E$121=0,"",$E$121)</f>
        <v>Тариф на водоотведение</v>
      </c>
      <c r="AI127" s="1188" t="str">
        <f>IF($G$121=0,"",$G$121)</f>
        <v>Водоотведение</v>
      </c>
      <c r="AJ127" s="1188" t="str">
        <f>IF($J$121=0,"",$J$121)</f>
        <v>Тариф на водоотведение</v>
      </c>
      <c r="AK127" s="1188" t="str">
        <f>IF($K$121="нет","без дифференциации",IF($N$121=0,"",$N$121))</f>
        <v>Территория 1</v>
      </c>
      <c r="AL127" s="1762" t="str">
        <f>IF($O$127="нет","без дифференциации",IF($R$127=0,"",$R$127))</f>
        <v>пгт. Посьет</v>
      </c>
      <c r="AM127" s="1762"/>
      <c r="AN127" s="1188">
        <f>$I$121</f>
        <v>1</v>
      </c>
      <c r="AO127" s="1188" t="str">
        <f>$I$121&amp;"."&amp;$M$121</f>
        <v>1.1</v>
      </c>
      <c r="AP127" s="1188" t="str">
        <f>$I$121&amp;"."&amp;$M$121&amp;"."&amp;$Q$127</f>
        <v>1.1.4</v>
      </c>
      <c r="AQ127" s="1188"/>
      <c r="AR127" s="2016"/>
    </row>
    <row r="128" spans="1:44" ht="17.25" customHeight="1">
      <c r="A128" s="1758"/>
      <c r="B128" s="2016"/>
      <c r="C128" s="1763"/>
      <c r="D128" s="5366"/>
      <c r="E128" s="5367"/>
      <c r="F128" s="5364"/>
      <c r="G128" s="5369"/>
      <c r="H128" s="5366"/>
      <c r="I128" s="5366"/>
      <c r="J128" s="5397"/>
      <c r="K128" s="5369"/>
      <c r="L128" s="5366"/>
      <c r="M128" s="5366"/>
      <c r="N128" s="5392"/>
      <c r="O128" s="5400"/>
      <c r="P128" s="5339"/>
      <c r="Q128" s="5339"/>
      <c r="R128" s="5401"/>
      <c r="S128" s="5394"/>
      <c r="T128" s="1356"/>
      <c r="U128" s="1357"/>
      <c r="V128" s="1357"/>
      <c r="W128" s="5396"/>
      <c r="X128" s="2016"/>
      <c r="Y128" s="1180"/>
      <c r="Z128" s="1180"/>
      <c r="AA128" s="1180"/>
      <c r="AB128" s="1180"/>
      <c r="AC128" s="1180"/>
      <c r="AD128" s="1180"/>
      <c r="AE128" s="1180"/>
      <c r="AF128" s="1180"/>
      <c r="AG128" s="1180"/>
      <c r="AH128" s="1180"/>
      <c r="AI128" s="1180"/>
      <c r="AJ128" s="1180"/>
      <c r="AK128" s="1180"/>
      <c r="AL128" s="2016"/>
      <c r="AM128" s="2016"/>
      <c r="AN128" s="2016"/>
      <c r="AO128" s="2016"/>
      <c r="AP128" s="2016"/>
      <c r="AQ128" s="2016"/>
      <c r="AR128" s="2016"/>
    </row>
    <row r="129" spans="1:44" ht="17.25" customHeight="1">
      <c r="A129" s="1758"/>
      <c r="B129" s="2016"/>
      <c r="C129" s="1760"/>
      <c r="D129" s="5366"/>
      <c r="E129" s="5367"/>
      <c r="F129" s="5364"/>
      <c r="G129" s="5369"/>
      <c r="H129" s="5366"/>
      <c r="I129" s="5366"/>
      <c r="J129" s="5397"/>
      <c r="K129" s="5369"/>
      <c r="L129" s="5366"/>
      <c r="M129" s="5366"/>
      <c r="N129" s="5392"/>
      <c r="O129" s="5400"/>
      <c r="P129" s="5339" t="s">
        <v>104</v>
      </c>
      <c r="Q129" s="5339" t="s">
        <v>116</v>
      </c>
      <c r="R129" s="5401" t="s">
        <v>309</v>
      </c>
      <c r="S129" s="5394" t="s">
        <v>19</v>
      </c>
      <c r="T129" s="1722"/>
      <c r="U129" s="1722" t="s">
        <v>136</v>
      </c>
      <c r="V129" s="1355"/>
      <c r="W129" s="5396"/>
      <c r="X129" s="2016"/>
      <c r="Y129" s="1188"/>
      <c r="Z129" s="1188"/>
      <c r="AA129" s="1188"/>
      <c r="AB129" s="1188"/>
      <c r="AC129" s="2017" t="s">
        <v>296</v>
      </c>
      <c r="AD129" s="2017" t="s">
        <v>297</v>
      </c>
      <c r="AE129" s="2017" t="s">
        <v>298</v>
      </c>
      <c r="AF129" s="1188" t="s">
        <v>310</v>
      </c>
      <c r="AG129" s="1188" t="s">
        <v>311</v>
      </c>
      <c r="AH129" s="1188" t="str">
        <f>IF($E$121=0,"",$E$121)</f>
        <v>Тариф на водоотведение</v>
      </c>
      <c r="AI129" s="1188" t="str">
        <f>IF($G$121=0,"",$G$121)</f>
        <v>Водоотведение</v>
      </c>
      <c r="AJ129" s="1188" t="str">
        <f>IF($J$121=0,"",$J$121)</f>
        <v>Тариф на водоотведение</v>
      </c>
      <c r="AK129" s="1188" t="str">
        <f>IF($K$121="нет","без дифференциации",IF($N$121=0,"",$N$121))</f>
        <v>Территория 1</v>
      </c>
      <c r="AL129" s="1762" t="str">
        <f>IF($O$129="нет","без дифференциации",IF($R$129=0,"",$R$129))</f>
        <v>пгт. Приморский</v>
      </c>
      <c r="AM129" s="1762"/>
      <c r="AN129" s="1188">
        <f>$I$121</f>
        <v>1</v>
      </c>
      <c r="AO129" s="1188" t="str">
        <f>$I$121&amp;"."&amp;$M$121</f>
        <v>1.1</v>
      </c>
      <c r="AP129" s="1188" t="str">
        <f>$I$121&amp;"."&amp;$M$121&amp;"."&amp;$Q$129</f>
        <v>1.1.5</v>
      </c>
      <c r="AQ129" s="1188"/>
      <c r="AR129" s="2016"/>
    </row>
    <row r="130" spans="1:44" ht="17.25" customHeight="1">
      <c r="A130" s="1758"/>
      <c r="B130" s="2016"/>
      <c r="C130" s="1763"/>
      <c r="D130" s="5366"/>
      <c r="E130" s="5367"/>
      <c r="F130" s="5364"/>
      <c r="G130" s="5369"/>
      <c r="H130" s="5366"/>
      <c r="I130" s="5366"/>
      <c r="J130" s="5397"/>
      <c r="K130" s="5369"/>
      <c r="L130" s="5366"/>
      <c r="M130" s="5366"/>
      <c r="N130" s="5392"/>
      <c r="O130" s="5400"/>
      <c r="P130" s="5339"/>
      <c r="Q130" s="5339"/>
      <c r="R130" s="5401"/>
      <c r="S130" s="5394"/>
      <c r="T130" s="1356"/>
      <c r="U130" s="1357"/>
      <c r="V130" s="1357"/>
      <c r="W130" s="5396"/>
      <c r="X130" s="2016"/>
      <c r="Y130" s="1180"/>
      <c r="Z130" s="1180"/>
      <c r="AA130" s="1180"/>
      <c r="AB130" s="1180"/>
      <c r="AC130" s="1180"/>
      <c r="AD130" s="1180"/>
      <c r="AE130" s="1180"/>
      <c r="AF130" s="1180"/>
      <c r="AG130" s="1180"/>
      <c r="AH130" s="1180"/>
      <c r="AI130" s="1180"/>
      <c r="AJ130" s="1180"/>
      <c r="AK130" s="1180"/>
      <c r="AL130" s="2016"/>
      <c r="AM130" s="2016"/>
      <c r="AN130" s="2016"/>
      <c r="AO130" s="2016"/>
      <c r="AP130" s="2016"/>
      <c r="AQ130" s="2016"/>
      <c r="AR130" s="2016"/>
    </row>
    <row r="131" spans="1:44" s="4284" customFormat="1" ht="17.25" customHeight="1">
      <c r="A131" s="259"/>
      <c r="C131" s="147"/>
      <c r="D131" s="5361"/>
      <c r="E131" s="5350"/>
      <c r="F131" s="5364"/>
      <c r="G131" s="5368"/>
      <c r="H131" s="5362"/>
      <c r="I131" s="5362"/>
      <c r="J131" s="5398"/>
      <c r="K131" s="5400"/>
      <c r="L131" s="5362"/>
      <c r="M131" s="5362"/>
      <c r="N131" s="5393"/>
      <c r="O131" s="5343"/>
      <c r="P131" s="2018"/>
      <c r="Q131" s="2019"/>
      <c r="R131" s="2020" t="s">
        <v>312</v>
      </c>
      <c r="S131" s="2021"/>
      <c r="T131" s="2022"/>
      <c r="U131" s="2023"/>
      <c r="V131" s="2024"/>
      <c r="W131" s="2025"/>
      <c r="Y131" s="1188"/>
      <c r="Z131" s="1188"/>
      <c r="AA131" s="1188"/>
      <c r="AB131" s="1188"/>
      <c r="AC131" s="1188"/>
      <c r="AD131" s="1188"/>
      <c r="AE131" s="1188"/>
      <c r="AF131" s="1188"/>
      <c r="AG131" s="1188"/>
      <c r="AH131" s="1188"/>
      <c r="AI131" s="1188"/>
      <c r="AJ131" s="1188"/>
      <c r="AK131" s="1188"/>
      <c r="AL131" s="1188"/>
      <c r="AM131" s="1188"/>
      <c r="AN131" s="1188"/>
      <c r="AO131" s="1188"/>
      <c r="AP131" s="1188"/>
      <c r="AQ131" s="1188"/>
      <c r="AR131" s="1388">
        <v>0</v>
      </c>
    </row>
    <row r="132" spans="1:44" ht="17.25" customHeight="1">
      <c r="A132" s="1758"/>
      <c r="B132" s="2016"/>
      <c r="C132" s="1760"/>
      <c r="D132" s="5366"/>
      <c r="E132" s="5367"/>
      <c r="F132" s="5364"/>
      <c r="G132" s="5369"/>
      <c r="H132" s="5366"/>
      <c r="I132" s="5366"/>
      <c r="J132" s="5397"/>
      <c r="K132" s="5369"/>
      <c r="L132" s="5339" t="s">
        <v>104</v>
      </c>
      <c r="M132" s="5339" t="s">
        <v>103</v>
      </c>
      <c r="N132" s="5391" t="str">
        <f>IF(Z132="","",INDEX(TERRITORY_MR_LIST,MATCH(Z132,TERRITORY_LIST_ID,0)))</f>
        <v>Территория 2</v>
      </c>
      <c r="O132" s="5399" t="s">
        <v>66</v>
      </c>
      <c r="P132" s="5339"/>
      <c r="Q132" s="5339" t="s">
        <v>136</v>
      </c>
      <c r="R132" s="5401" t="s">
        <v>313</v>
      </c>
      <c r="S132" s="5394" t="s">
        <v>19</v>
      </c>
      <c r="T132" s="1722"/>
      <c r="U132" s="1722" t="s">
        <v>136</v>
      </c>
      <c r="V132" s="1355"/>
      <c r="W132" s="5396"/>
      <c r="X132" s="2016"/>
      <c r="Y132" s="1188"/>
      <c r="Z132" s="1188" t="s">
        <v>105</v>
      </c>
      <c r="AA132" s="1188"/>
      <c r="AB132" s="1188"/>
      <c r="AC132" s="2017" t="s">
        <v>296</v>
      </c>
      <c r="AD132" s="2017" t="s">
        <v>297</v>
      </c>
      <c r="AE132" s="1188" t="s">
        <v>314</v>
      </c>
      <c r="AF132" s="1188" t="s">
        <v>315</v>
      </c>
      <c r="AG132" s="1188" t="s">
        <v>316</v>
      </c>
      <c r="AH132" s="1188" t="str">
        <f>IF($E$121=0,"",$E$121)</f>
        <v>Тариф на водоотведение</v>
      </c>
      <c r="AI132" s="1188" t="str">
        <f>IF($G$121=0,"",$G$121)</f>
        <v>Водоотведение</v>
      </c>
      <c r="AJ132" s="1188" t="str">
        <f>IF($J$121=0,"",$J$121)</f>
        <v>Тариф на водоотведение</v>
      </c>
      <c r="AK132" s="1188" t="str">
        <f>IF($K$132="нет","без дифференциации",IF($N$132=0,"",$N$132))</f>
        <v>Территория 2</v>
      </c>
      <c r="AL132" s="1762" t="str">
        <f>IF($O$132="нет","без дифференциации",IF($R$132=0,"",$R$132))</f>
        <v>с. Многоудобное</v>
      </c>
      <c r="AM132" s="1762"/>
      <c r="AN132" s="1188">
        <f>$I$121</f>
        <v>1</v>
      </c>
      <c r="AO132" s="1188" t="str">
        <f>$I$121&amp;"."&amp;$M$132</f>
        <v>1.2</v>
      </c>
      <c r="AP132" s="1188" t="str">
        <f>$I$121&amp;"."&amp;$M$132&amp;"."&amp;$Q$132</f>
        <v>1.2.1</v>
      </c>
      <c r="AQ132" s="1188"/>
      <c r="AR132" s="2016"/>
    </row>
    <row r="133" spans="1:44" ht="17.25" customHeight="1">
      <c r="A133" s="1758"/>
      <c r="B133" s="2016"/>
      <c r="C133" s="1763"/>
      <c r="D133" s="5366"/>
      <c r="E133" s="5367"/>
      <c r="F133" s="5364"/>
      <c r="G133" s="5369"/>
      <c r="H133" s="5366"/>
      <c r="I133" s="5366"/>
      <c r="J133" s="5397"/>
      <c r="K133" s="5369"/>
      <c r="L133" s="5339"/>
      <c r="M133" s="5339"/>
      <c r="N133" s="5391"/>
      <c r="O133" s="5400"/>
      <c r="P133" s="5339"/>
      <c r="Q133" s="5339"/>
      <c r="R133" s="5401"/>
      <c r="S133" s="5394"/>
      <c r="T133" s="1356"/>
      <c r="U133" s="1357"/>
      <c r="V133" s="1357"/>
      <c r="W133" s="5396"/>
      <c r="X133" s="2016"/>
      <c r="Y133" s="1180"/>
      <c r="Z133" s="1180"/>
      <c r="AA133" s="1180"/>
      <c r="AB133" s="1180"/>
      <c r="AC133" s="1180"/>
      <c r="AD133" s="1180"/>
      <c r="AE133" s="1180"/>
      <c r="AF133" s="1180"/>
      <c r="AG133" s="1180"/>
      <c r="AH133" s="1180"/>
      <c r="AI133" s="1180"/>
      <c r="AJ133" s="1180"/>
      <c r="AK133" s="1180"/>
      <c r="AL133" s="2016"/>
      <c r="AM133" s="2016"/>
      <c r="AN133" s="2016"/>
      <c r="AO133" s="2016"/>
      <c r="AP133" s="2016"/>
      <c r="AQ133" s="2016"/>
      <c r="AR133" s="2016"/>
    </row>
    <row r="134" spans="1:44" ht="17.25" customHeight="1">
      <c r="A134" s="1758"/>
      <c r="B134" s="2016"/>
      <c r="C134" s="1760"/>
      <c r="D134" s="5366"/>
      <c r="E134" s="5367"/>
      <c r="F134" s="5364"/>
      <c r="G134" s="5369"/>
      <c r="H134" s="5366"/>
      <c r="I134" s="5366"/>
      <c r="J134" s="5397"/>
      <c r="K134" s="5369"/>
      <c r="L134" s="5366"/>
      <c r="M134" s="5366"/>
      <c r="N134" s="5392"/>
      <c r="O134" s="5400"/>
      <c r="P134" s="5339" t="s">
        <v>104</v>
      </c>
      <c r="Q134" s="5339" t="s">
        <v>103</v>
      </c>
      <c r="R134" s="5401" t="s">
        <v>317</v>
      </c>
      <c r="S134" s="5394" t="s">
        <v>19</v>
      </c>
      <c r="T134" s="1722"/>
      <c r="U134" s="1722" t="s">
        <v>136</v>
      </c>
      <c r="V134" s="1355"/>
      <c r="W134" s="5396"/>
      <c r="X134" s="2016"/>
      <c r="Y134" s="1188"/>
      <c r="Z134" s="1188"/>
      <c r="AA134" s="1188"/>
      <c r="AB134" s="1188"/>
      <c r="AC134" s="2017" t="s">
        <v>296</v>
      </c>
      <c r="AD134" s="2017" t="s">
        <v>297</v>
      </c>
      <c r="AE134" s="2017" t="s">
        <v>314</v>
      </c>
      <c r="AF134" s="1188" t="s">
        <v>318</v>
      </c>
      <c r="AG134" s="1188" t="s">
        <v>319</v>
      </c>
      <c r="AH134" s="1188" t="str">
        <f>IF($E$121=0,"",$E$121)</f>
        <v>Тариф на водоотведение</v>
      </c>
      <c r="AI134" s="1188" t="str">
        <f>IF($G$121=0,"",$G$121)</f>
        <v>Водоотведение</v>
      </c>
      <c r="AJ134" s="1188" t="str">
        <f>IF($J$121=0,"",$J$121)</f>
        <v>Тариф на водоотведение</v>
      </c>
      <c r="AK134" s="1188" t="str">
        <f>IF($K$132="нет","без дифференциации",IF($N$132=0,"",$N$132))</f>
        <v>Территория 2</v>
      </c>
      <c r="AL134" s="1762" t="str">
        <f>IF($O$134="нет","без дифференциации",IF($R$134=0,"",$R$134))</f>
        <v>с. Романовка</v>
      </c>
      <c r="AM134" s="1762"/>
      <c r="AN134" s="1188">
        <f>$I$121</f>
        <v>1</v>
      </c>
      <c r="AO134" s="1188" t="str">
        <f>$I$121&amp;"."&amp;$M$132</f>
        <v>1.2</v>
      </c>
      <c r="AP134" s="1188" t="str">
        <f>$I$121&amp;"."&amp;$M$132&amp;"."&amp;$Q$134</f>
        <v>1.2.2</v>
      </c>
      <c r="AQ134" s="1188"/>
      <c r="AR134" s="2016"/>
    </row>
    <row r="135" spans="1:44" ht="17.25" customHeight="1">
      <c r="A135" s="1758"/>
      <c r="B135" s="2016"/>
      <c r="C135" s="1763"/>
      <c r="D135" s="5366"/>
      <c r="E135" s="5367"/>
      <c r="F135" s="5364"/>
      <c r="G135" s="5369"/>
      <c r="H135" s="5366"/>
      <c r="I135" s="5366"/>
      <c r="J135" s="5397"/>
      <c r="K135" s="5369"/>
      <c r="L135" s="5366"/>
      <c r="M135" s="5366"/>
      <c r="N135" s="5392"/>
      <c r="O135" s="5400"/>
      <c r="P135" s="5339"/>
      <c r="Q135" s="5339"/>
      <c r="R135" s="5401"/>
      <c r="S135" s="5394"/>
      <c r="T135" s="1356"/>
      <c r="U135" s="1357"/>
      <c r="V135" s="1357"/>
      <c r="W135" s="5396"/>
      <c r="X135" s="2016"/>
      <c r="Y135" s="1180"/>
      <c r="Z135" s="1180"/>
      <c r="AA135" s="1180"/>
      <c r="AB135" s="1180"/>
      <c r="AC135" s="1180"/>
      <c r="AD135" s="1180"/>
      <c r="AE135" s="1180"/>
      <c r="AF135" s="1180"/>
      <c r="AG135" s="1180"/>
      <c r="AH135" s="1180"/>
      <c r="AI135" s="1180"/>
      <c r="AJ135" s="1180"/>
      <c r="AK135" s="1180"/>
      <c r="AL135" s="2016"/>
      <c r="AM135" s="2016"/>
      <c r="AN135" s="2016"/>
      <c r="AO135" s="2016"/>
      <c r="AP135" s="2016"/>
      <c r="AQ135" s="2016"/>
      <c r="AR135" s="2016"/>
    </row>
    <row r="136" spans="1:44" ht="17.25" customHeight="1">
      <c r="A136" s="1758"/>
      <c r="B136" s="2016"/>
      <c r="C136" s="1763"/>
      <c r="D136" s="5366"/>
      <c r="E136" s="5367"/>
      <c r="F136" s="5364"/>
      <c r="G136" s="5369"/>
      <c r="H136" s="5366"/>
      <c r="I136" s="5366"/>
      <c r="J136" s="5397"/>
      <c r="K136" s="5369"/>
      <c r="L136" s="5362"/>
      <c r="M136" s="5362"/>
      <c r="N136" s="5393"/>
      <c r="O136" s="5343"/>
      <c r="P136" s="255"/>
      <c r="Q136" s="256"/>
      <c r="R136" s="256" t="s">
        <v>312</v>
      </c>
      <c r="S136" s="1764"/>
      <c r="T136" s="1764"/>
      <c r="U136" s="1764"/>
      <c r="V136" s="1764"/>
      <c r="W136" s="1354"/>
      <c r="X136" s="2016"/>
      <c r="Y136" s="1180"/>
      <c r="Z136" s="1180"/>
      <c r="AA136" s="1180"/>
      <c r="AB136" s="1180"/>
      <c r="AC136" s="1180"/>
      <c r="AD136" s="1180"/>
      <c r="AE136" s="1180"/>
      <c r="AF136" s="1180"/>
      <c r="AG136" s="1180"/>
      <c r="AH136" s="1180"/>
      <c r="AI136" s="1180"/>
      <c r="AJ136" s="1180"/>
      <c r="AK136" s="1180"/>
      <c r="AL136" s="2016"/>
      <c r="AM136" s="2016"/>
      <c r="AN136" s="2016"/>
      <c r="AO136" s="2016"/>
      <c r="AP136" s="2016"/>
      <c r="AQ136" s="2016"/>
      <c r="AR136" s="2016"/>
    </row>
    <row r="137" spans="1:44" ht="17.25" customHeight="1">
      <c r="A137" s="1758"/>
      <c r="B137" s="2016"/>
      <c r="C137" s="1760"/>
      <c r="D137" s="5366"/>
      <c r="E137" s="5367"/>
      <c r="F137" s="5364"/>
      <c r="G137" s="5369"/>
      <c r="H137" s="5366"/>
      <c r="I137" s="5366"/>
      <c r="J137" s="5397"/>
      <c r="K137" s="5369"/>
      <c r="L137" s="5339" t="s">
        <v>104</v>
      </c>
      <c r="M137" s="5339" t="s">
        <v>90</v>
      </c>
      <c r="N137" s="5391" t="str">
        <f>IF(Z137="","",INDEX(TERRITORY_MR_LIST,MATCH(Z137,TERRITORY_LIST_ID,0)))</f>
        <v>Территория 3</v>
      </c>
      <c r="O137" s="5399" t="s">
        <v>66</v>
      </c>
      <c r="P137" s="5339"/>
      <c r="Q137" s="5339" t="s">
        <v>136</v>
      </c>
      <c r="R137" s="5401" t="s">
        <v>320</v>
      </c>
      <c r="S137" s="5394" t="s">
        <v>19</v>
      </c>
      <c r="T137" s="1722"/>
      <c r="U137" s="1722" t="s">
        <v>136</v>
      </c>
      <c r="V137" s="1355"/>
      <c r="W137" s="5396"/>
      <c r="X137" s="2016"/>
      <c r="Y137" s="1188"/>
      <c r="Z137" s="1188" t="s">
        <v>109</v>
      </c>
      <c r="AA137" s="1188"/>
      <c r="AB137" s="1188"/>
      <c r="AC137" s="2017" t="s">
        <v>296</v>
      </c>
      <c r="AD137" s="2017" t="s">
        <v>297</v>
      </c>
      <c r="AE137" s="1188" t="s">
        <v>321</v>
      </c>
      <c r="AF137" s="1188" t="s">
        <v>322</v>
      </c>
      <c r="AG137" s="1188" t="s">
        <v>323</v>
      </c>
      <c r="AH137" s="1188" t="str">
        <f>IF($E$121=0,"",$E$121)</f>
        <v>Тариф на водоотведение</v>
      </c>
      <c r="AI137" s="1188" t="str">
        <f>IF($G$121=0,"",$G$121)</f>
        <v>Водоотведение</v>
      </c>
      <c r="AJ137" s="1188" t="str">
        <f>IF($J$121=0,"",$J$121)</f>
        <v>Тариф на водоотведение</v>
      </c>
      <c r="AK137" s="1188" t="str">
        <f>IF($K$137="нет","без дифференциации",IF($N$137=0,"",$N$137))</f>
        <v>Территория 3</v>
      </c>
      <c r="AL137" s="1762" t="str">
        <f>IF($O$137="нет","без дифференциации",IF($R$137=0,"",$R$137))</f>
        <v>Кавалеровский МО</v>
      </c>
      <c r="AM137" s="1762"/>
      <c r="AN137" s="1188">
        <f>$I$121</f>
        <v>1</v>
      </c>
      <c r="AO137" s="1188" t="str">
        <f>$I$121&amp;"."&amp;$M$137</f>
        <v>1.3</v>
      </c>
      <c r="AP137" s="1188" t="str">
        <f>$I$121&amp;"."&amp;$M$137&amp;"."&amp;$Q$137</f>
        <v>1.3.1</v>
      </c>
      <c r="AQ137" s="1188"/>
      <c r="AR137" s="2016"/>
    </row>
    <row r="138" spans="1:44" ht="17.25" customHeight="1">
      <c r="A138" s="1758"/>
      <c r="B138" s="2016"/>
      <c r="C138" s="1763"/>
      <c r="D138" s="5366"/>
      <c r="E138" s="5367"/>
      <c r="F138" s="5364"/>
      <c r="G138" s="5369"/>
      <c r="H138" s="5366"/>
      <c r="I138" s="5366"/>
      <c r="J138" s="5397"/>
      <c r="K138" s="5369"/>
      <c r="L138" s="5339"/>
      <c r="M138" s="5339"/>
      <c r="N138" s="5391"/>
      <c r="O138" s="5400"/>
      <c r="P138" s="5339"/>
      <c r="Q138" s="5339"/>
      <c r="R138" s="5401"/>
      <c r="S138" s="5394"/>
      <c r="T138" s="1356"/>
      <c r="U138" s="1357"/>
      <c r="V138" s="1357"/>
      <c r="W138" s="5396"/>
      <c r="X138" s="2016"/>
      <c r="Y138" s="1180"/>
      <c r="Z138" s="1180"/>
      <c r="AA138" s="1180"/>
      <c r="AB138" s="1180"/>
      <c r="AC138" s="1180"/>
      <c r="AD138" s="1180"/>
      <c r="AE138" s="1180"/>
      <c r="AF138" s="1180"/>
      <c r="AG138" s="1180"/>
      <c r="AH138" s="1180"/>
      <c r="AI138" s="1180"/>
      <c r="AJ138" s="1180"/>
      <c r="AK138" s="1180"/>
      <c r="AL138" s="2016"/>
      <c r="AM138" s="2016"/>
      <c r="AN138" s="2016"/>
      <c r="AO138" s="2016"/>
      <c r="AP138" s="2016"/>
      <c r="AQ138" s="2016"/>
      <c r="AR138" s="2016"/>
    </row>
    <row r="139" spans="1:44" ht="17.25" customHeight="1">
      <c r="A139" s="1758"/>
      <c r="B139" s="2016"/>
      <c r="C139" s="1763"/>
      <c r="D139" s="5366"/>
      <c r="E139" s="5367"/>
      <c r="F139" s="5364"/>
      <c r="G139" s="5369"/>
      <c r="H139" s="5366"/>
      <c r="I139" s="5366"/>
      <c r="J139" s="5397"/>
      <c r="K139" s="5369"/>
      <c r="L139" s="5362"/>
      <c r="M139" s="5362"/>
      <c r="N139" s="5393"/>
      <c r="O139" s="5343"/>
      <c r="P139" s="255"/>
      <c r="Q139" s="256"/>
      <c r="R139" s="256" t="s">
        <v>312</v>
      </c>
      <c r="S139" s="1764"/>
      <c r="T139" s="1764"/>
      <c r="U139" s="1764"/>
      <c r="V139" s="1764"/>
      <c r="W139" s="1354"/>
      <c r="X139" s="2016"/>
      <c r="Y139" s="1180"/>
      <c r="Z139" s="1180"/>
      <c r="AA139" s="1180"/>
      <c r="AB139" s="1180"/>
      <c r="AC139" s="1180"/>
      <c r="AD139" s="1180"/>
      <c r="AE139" s="1180"/>
      <c r="AF139" s="1180"/>
      <c r="AG139" s="1180"/>
      <c r="AH139" s="1180"/>
      <c r="AI139" s="1180"/>
      <c r="AJ139" s="1180"/>
      <c r="AK139" s="1180"/>
      <c r="AL139" s="2016"/>
      <c r="AM139" s="2016"/>
      <c r="AN139" s="2016"/>
      <c r="AO139" s="2016"/>
      <c r="AP139" s="2016"/>
      <c r="AQ139" s="2016"/>
      <c r="AR139" s="2016"/>
    </row>
    <row r="140" spans="1:44" ht="17.25" customHeight="1">
      <c r="A140" s="1758"/>
      <c r="B140" s="2016"/>
      <c r="C140" s="1760"/>
      <c r="D140" s="5366"/>
      <c r="E140" s="5367"/>
      <c r="F140" s="5364"/>
      <c r="G140" s="5369"/>
      <c r="H140" s="5366"/>
      <c r="I140" s="5366"/>
      <c r="J140" s="5397"/>
      <c r="K140" s="5369"/>
      <c r="L140" s="5339" t="s">
        <v>104</v>
      </c>
      <c r="M140" s="5339" t="s">
        <v>91</v>
      </c>
      <c r="N140" s="5391" t="str">
        <f>IF(Z140="","",INDEX(TERRITORY_MR_LIST,MATCH(Z140,TERRITORY_LIST_ID,0)))</f>
        <v>Территория 4</v>
      </c>
      <c r="O140" s="5399" t="s">
        <v>66</v>
      </c>
      <c r="P140" s="5339"/>
      <c r="Q140" s="5339" t="s">
        <v>136</v>
      </c>
      <c r="R140" s="5401" t="s">
        <v>324</v>
      </c>
      <c r="S140" s="5394" t="s">
        <v>19</v>
      </c>
      <c r="T140" s="1722"/>
      <c r="U140" s="1722" t="s">
        <v>136</v>
      </c>
      <c r="V140" s="1355"/>
      <c r="W140" s="5396"/>
      <c r="X140" s="2016"/>
      <c r="Y140" s="1188"/>
      <c r="Z140" s="1188" t="s">
        <v>113</v>
      </c>
      <c r="AA140" s="1188"/>
      <c r="AB140" s="1188"/>
      <c r="AC140" s="2017" t="s">
        <v>296</v>
      </c>
      <c r="AD140" s="2017" t="s">
        <v>297</v>
      </c>
      <c r="AE140" s="1188" t="s">
        <v>325</v>
      </c>
      <c r="AF140" s="1188" t="s">
        <v>326</v>
      </c>
      <c r="AG140" s="1188" t="s">
        <v>327</v>
      </c>
      <c r="AH140" s="1188" t="str">
        <f>IF($E$121=0,"",$E$121)</f>
        <v>Тариф на водоотведение</v>
      </c>
      <c r="AI140" s="1188" t="str">
        <f>IF($G$121=0,"",$G$121)</f>
        <v>Водоотведение</v>
      </c>
      <c r="AJ140" s="1188" t="str">
        <f>IF($J$121=0,"",$J$121)</f>
        <v>Тариф на водоотведение</v>
      </c>
      <c r="AK140" s="1188" t="str">
        <f>IF($K$140="нет","без дифференциации",IF($N$140=0,"",$N$140))</f>
        <v>Территория 4</v>
      </c>
      <c r="AL140" s="1762" t="str">
        <f>IF($O$140="нет","без дифференциации",IF($R$140=0,"",$R$140))</f>
        <v>Дальнегорский ГО</v>
      </c>
      <c r="AM140" s="1762"/>
      <c r="AN140" s="1188">
        <f>$I$121</f>
        <v>1</v>
      </c>
      <c r="AO140" s="1188" t="str">
        <f>$I$121&amp;"."&amp;$M$140</f>
        <v>1.4</v>
      </c>
      <c r="AP140" s="1188" t="str">
        <f>$I$121&amp;"."&amp;$M$140&amp;"."&amp;$Q$140</f>
        <v>1.4.1</v>
      </c>
      <c r="AQ140" s="1188"/>
      <c r="AR140" s="2016"/>
    </row>
    <row r="141" spans="1:44" ht="17.25" customHeight="1">
      <c r="A141" s="1758"/>
      <c r="B141" s="2016"/>
      <c r="C141" s="1763"/>
      <c r="D141" s="5366"/>
      <c r="E141" s="5367"/>
      <c r="F141" s="5364"/>
      <c r="G141" s="5369"/>
      <c r="H141" s="5366"/>
      <c r="I141" s="5366"/>
      <c r="J141" s="5397"/>
      <c r="K141" s="5369"/>
      <c r="L141" s="5339"/>
      <c r="M141" s="5339"/>
      <c r="N141" s="5391"/>
      <c r="O141" s="5400"/>
      <c r="P141" s="5339"/>
      <c r="Q141" s="5339"/>
      <c r="R141" s="5401"/>
      <c r="S141" s="5394"/>
      <c r="T141" s="1356"/>
      <c r="U141" s="1357"/>
      <c r="V141" s="1357"/>
      <c r="W141" s="5396"/>
      <c r="X141" s="2016"/>
      <c r="Y141" s="1180"/>
      <c r="Z141" s="1180"/>
      <c r="AA141" s="1180"/>
      <c r="AB141" s="1180"/>
      <c r="AC141" s="1180"/>
      <c r="AD141" s="1180"/>
      <c r="AE141" s="1180"/>
      <c r="AF141" s="1180"/>
      <c r="AG141" s="1180"/>
      <c r="AH141" s="1180"/>
      <c r="AI141" s="1180"/>
      <c r="AJ141" s="1180"/>
      <c r="AK141" s="1180"/>
      <c r="AL141" s="2016"/>
      <c r="AM141" s="2016"/>
      <c r="AN141" s="2016"/>
      <c r="AO141" s="2016"/>
      <c r="AP141" s="2016"/>
      <c r="AQ141" s="2016"/>
      <c r="AR141" s="2016"/>
    </row>
    <row r="142" spans="1:44" ht="17.25" customHeight="1">
      <c r="A142" s="1758"/>
      <c r="B142" s="2016"/>
      <c r="C142" s="1763"/>
      <c r="D142" s="5366"/>
      <c r="E142" s="5367"/>
      <c r="F142" s="5364"/>
      <c r="G142" s="5369"/>
      <c r="H142" s="5366"/>
      <c r="I142" s="5366"/>
      <c r="J142" s="5397"/>
      <c r="K142" s="5369"/>
      <c r="L142" s="5362"/>
      <c r="M142" s="5362"/>
      <c r="N142" s="5393"/>
      <c r="O142" s="5343"/>
      <c r="P142" s="255"/>
      <c r="Q142" s="256"/>
      <c r="R142" s="256" t="s">
        <v>312</v>
      </c>
      <c r="S142" s="1764"/>
      <c r="T142" s="1764"/>
      <c r="U142" s="1764"/>
      <c r="V142" s="1764"/>
      <c r="W142" s="1354"/>
      <c r="X142" s="2016"/>
      <c r="Y142" s="1180"/>
      <c r="Z142" s="1180"/>
      <c r="AA142" s="1180"/>
      <c r="AB142" s="1180"/>
      <c r="AC142" s="1180"/>
      <c r="AD142" s="1180"/>
      <c r="AE142" s="1180"/>
      <c r="AF142" s="1180"/>
      <c r="AG142" s="1180"/>
      <c r="AH142" s="1180"/>
      <c r="AI142" s="1180"/>
      <c r="AJ142" s="1180"/>
      <c r="AK142" s="1180"/>
      <c r="AL142" s="2016"/>
      <c r="AM142" s="2016"/>
      <c r="AN142" s="2016"/>
      <c r="AO142" s="2016"/>
      <c r="AP142" s="2016"/>
      <c r="AQ142" s="2016"/>
      <c r="AR142" s="2016"/>
    </row>
    <row r="143" spans="1:44" ht="17.25" customHeight="1">
      <c r="A143" s="1758"/>
      <c r="B143" s="2016"/>
      <c r="C143" s="1760"/>
      <c r="D143" s="5366"/>
      <c r="E143" s="5367"/>
      <c r="F143" s="5364"/>
      <c r="G143" s="5369"/>
      <c r="H143" s="5366"/>
      <c r="I143" s="5366"/>
      <c r="J143" s="5397"/>
      <c r="K143" s="5369"/>
      <c r="L143" s="5339" t="s">
        <v>104</v>
      </c>
      <c r="M143" s="5339" t="s">
        <v>116</v>
      </c>
      <c r="N143" s="5391" t="str">
        <f>IF(Z143="","",INDEX(TERRITORY_MR_LIST,MATCH(Z143,TERRITORY_LIST_ID,0)))</f>
        <v>Территория 5</v>
      </c>
      <c r="O143" s="5399" t="s">
        <v>66</v>
      </c>
      <c r="P143" s="5339"/>
      <c r="Q143" s="5339" t="s">
        <v>136</v>
      </c>
      <c r="R143" s="5401" t="s">
        <v>328</v>
      </c>
      <c r="S143" s="5394" t="s">
        <v>19</v>
      </c>
      <c r="T143" s="1722"/>
      <c r="U143" s="1722" t="s">
        <v>136</v>
      </c>
      <c r="V143" s="1355"/>
      <c r="W143" s="5396"/>
      <c r="X143" s="2016"/>
      <c r="Y143" s="1188"/>
      <c r="Z143" s="1188" t="s">
        <v>117</v>
      </c>
      <c r="AA143" s="1188"/>
      <c r="AB143" s="1188"/>
      <c r="AC143" s="2017" t="s">
        <v>296</v>
      </c>
      <c r="AD143" s="2017" t="s">
        <v>297</v>
      </c>
      <c r="AE143" s="1188" t="s">
        <v>329</v>
      </c>
      <c r="AF143" s="1188" t="s">
        <v>330</v>
      </c>
      <c r="AG143" s="1188" t="s">
        <v>331</v>
      </c>
      <c r="AH143" s="1188" t="str">
        <f>IF($E$121=0,"",$E$121)</f>
        <v>Тариф на водоотведение</v>
      </c>
      <c r="AI143" s="1188" t="str">
        <f>IF($G$121=0,"",$G$121)</f>
        <v>Водоотведение</v>
      </c>
      <c r="AJ143" s="1188" t="str">
        <f>IF($J$121=0,"",$J$121)</f>
        <v>Тариф на водоотведение</v>
      </c>
      <c r="AK143" s="1188" t="str">
        <f>IF($K$143="нет","без дифференциации",IF($N$143=0,"",$N$143))</f>
        <v>Территория 5</v>
      </c>
      <c r="AL143" s="1762" t="str">
        <f>IF($O$143="нет","без дифференциации",IF($R$143=0,"",$R$143))</f>
        <v>Новошахтинское ГП</v>
      </c>
      <c r="AM143" s="1762"/>
      <c r="AN143" s="1188">
        <f>$I$121</f>
        <v>1</v>
      </c>
      <c r="AO143" s="1188" t="str">
        <f>$I$121&amp;"."&amp;$M$143</f>
        <v>1.5</v>
      </c>
      <c r="AP143" s="1188" t="str">
        <f>$I$121&amp;"."&amp;$M$143&amp;"."&amp;$Q$143</f>
        <v>1.5.1</v>
      </c>
      <c r="AQ143" s="1188"/>
      <c r="AR143" s="2016"/>
    </row>
    <row r="144" spans="1:44" ht="17.25" customHeight="1">
      <c r="A144" s="1758"/>
      <c r="B144" s="2016"/>
      <c r="C144" s="1763"/>
      <c r="D144" s="5366"/>
      <c r="E144" s="5367"/>
      <c r="F144" s="5364"/>
      <c r="G144" s="5369"/>
      <c r="H144" s="5366"/>
      <c r="I144" s="5366"/>
      <c r="J144" s="5397"/>
      <c r="K144" s="5369"/>
      <c r="L144" s="5339"/>
      <c r="M144" s="5339"/>
      <c r="N144" s="5391"/>
      <c r="O144" s="5400"/>
      <c r="P144" s="5339"/>
      <c r="Q144" s="5339"/>
      <c r="R144" s="5401"/>
      <c r="S144" s="5394"/>
      <c r="T144" s="1356"/>
      <c r="U144" s="1357"/>
      <c r="V144" s="1357"/>
      <c r="W144" s="5396"/>
      <c r="X144" s="2016"/>
      <c r="Y144" s="1180"/>
      <c r="Z144" s="1180"/>
      <c r="AA144" s="1180"/>
      <c r="AB144" s="1180"/>
      <c r="AC144" s="1180"/>
      <c r="AD144" s="1180"/>
      <c r="AE144" s="1180"/>
      <c r="AF144" s="1180"/>
      <c r="AG144" s="1180"/>
      <c r="AH144" s="1180"/>
      <c r="AI144" s="1180"/>
      <c r="AJ144" s="1180"/>
      <c r="AK144" s="1180"/>
      <c r="AL144" s="2016"/>
      <c r="AM144" s="2016"/>
      <c r="AN144" s="2016"/>
      <c r="AO144" s="2016"/>
      <c r="AP144" s="2016"/>
      <c r="AQ144" s="2016"/>
      <c r="AR144" s="2016"/>
    </row>
    <row r="145" spans="1:44" ht="17.25" customHeight="1">
      <c r="A145" s="1758"/>
      <c r="B145" s="2016"/>
      <c r="C145" s="1763"/>
      <c r="D145" s="5366"/>
      <c r="E145" s="5367"/>
      <c r="F145" s="5364"/>
      <c r="G145" s="5369"/>
      <c r="H145" s="5366"/>
      <c r="I145" s="5366"/>
      <c r="J145" s="5397"/>
      <c r="K145" s="5369"/>
      <c r="L145" s="5362"/>
      <c r="M145" s="5362"/>
      <c r="N145" s="5393"/>
      <c r="O145" s="5343"/>
      <c r="P145" s="255"/>
      <c r="Q145" s="256"/>
      <c r="R145" s="256" t="s">
        <v>312</v>
      </c>
      <c r="S145" s="1764"/>
      <c r="T145" s="1764"/>
      <c r="U145" s="1764"/>
      <c r="V145" s="1764"/>
      <c r="W145" s="1354"/>
      <c r="X145" s="2016"/>
      <c r="Y145" s="1180"/>
      <c r="Z145" s="1180"/>
      <c r="AA145" s="1180"/>
      <c r="AB145" s="1180"/>
      <c r="AC145" s="1180"/>
      <c r="AD145" s="1180"/>
      <c r="AE145" s="1180"/>
      <c r="AF145" s="1180"/>
      <c r="AG145" s="1180"/>
      <c r="AH145" s="1180"/>
      <c r="AI145" s="1180"/>
      <c r="AJ145" s="1180"/>
      <c r="AK145" s="1180"/>
      <c r="AL145" s="2016"/>
      <c r="AM145" s="2016"/>
      <c r="AN145" s="2016"/>
      <c r="AO145" s="2016"/>
      <c r="AP145" s="2016"/>
      <c r="AQ145" s="2016"/>
      <c r="AR145" s="2016"/>
    </row>
    <row r="146" spans="1:44" ht="17.25" customHeight="1">
      <c r="A146" s="1758"/>
      <c r="B146" s="2016"/>
      <c r="C146" s="1760"/>
      <c r="D146" s="5366"/>
      <c r="E146" s="5367"/>
      <c r="F146" s="5364"/>
      <c r="G146" s="5369"/>
      <c r="H146" s="5366"/>
      <c r="I146" s="5366"/>
      <c r="J146" s="5397"/>
      <c r="K146" s="5369"/>
      <c r="L146" s="5339" t="s">
        <v>104</v>
      </c>
      <c r="M146" s="5339" t="s">
        <v>92</v>
      </c>
      <c r="N146" s="5391" t="str">
        <f>IF(Z146="","",INDEX(TERRITORY_MR_LIST,MATCH(Z146,TERRITORY_LIST_ID,0)))</f>
        <v>Территория 6</v>
      </c>
      <c r="O146" s="5399" t="s">
        <v>66</v>
      </c>
      <c r="P146" s="5339"/>
      <c r="Q146" s="5339" t="s">
        <v>136</v>
      </c>
      <c r="R146" s="5401" t="s">
        <v>332</v>
      </c>
      <c r="S146" s="5394" t="s">
        <v>19</v>
      </c>
      <c r="T146" s="1722"/>
      <c r="U146" s="1722" t="s">
        <v>136</v>
      </c>
      <c r="V146" s="1355"/>
      <c r="W146" s="5396"/>
      <c r="X146" s="2016"/>
      <c r="Y146" s="1188"/>
      <c r="Z146" s="1188" t="s">
        <v>122</v>
      </c>
      <c r="AA146" s="1188"/>
      <c r="AB146" s="1188"/>
      <c r="AC146" s="2017" t="s">
        <v>296</v>
      </c>
      <c r="AD146" s="2017" t="s">
        <v>297</v>
      </c>
      <c r="AE146" s="1188" t="s">
        <v>333</v>
      </c>
      <c r="AF146" s="1188" t="s">
        <v>334</v>
      </c>
      <c r="AG146" s="1188" t="s">
        <v>335</v>
      </c>
      <c r="AH146" s="1188" t="str">
        <f>IF($E$121=0,"",$E$121)</f>
        <v>Тариф на водоотведение</v>
      </c>
      <c r="AI146" s="1188" t="str">
        <f>IF($G$121=0,"",$G$121)</f>
        <v>Водоотведение</v>
      </c>
      <c r="AJ146" s="1188" t="str">
        <f>IF($J$121=0,"",$J$121)</f>
        <v>Тариф на водоотведение</v>
      </c>
      <c r="AK146" s="1188" t="str">
        <f>IF($K$146="нет","без дифференциации",IF($N$146=0,"",$N$146))</f>
        <v>Территория 6</v>
      </c>
      <c r="AL146" s="1762" t="str">
        <f>IF($O$146="нет","без дифференциации",IF($R$146=0,"",$R$146))</f>
        <v xml:space="preserve">пгт. Путятин </v>
      </c>
      <c r="AM146" s="1762"/>
      <c r="AN146" s="1188">
        <f>$I$121</f>
        <v>1</v>
      </c>
      <c r="AO146" s="1188" t="str">
        <f>$I$121&amp;"."&amp;$M$146</f>
        <v>1.6</v>
      </c>
      <c r="AP146" s="1188" t="str">
        <f>$I$121&amp;"."&amp;$M$146&amp;"."&amp;$Q$146</f>
        <v>1.6.1</v>
      </c>
      <c r="AQ146" s="1188"/>
      <c r="AR146" s="2016"/>
    </row>
    <row r="147" spans="1:44" ht="17.25" customHeight="1">
      <c r="A147" s="1758"/>
      <c r="B147" s="2016"/>
      <c r="C147" s="1763"/>
      <c r="D147" s="5366"/>
      <c r="E147" s="5367"/>
      <c r="F147" s="5364"/>
      <c r="G147" s="5369"/>
      <c r="H147" s="5366"/>
      <c r="I147" s="5366"/>
      <c r="J147" s="5397"/>
      <c r="K147" s="5369"/>
      <c r="L147" s="5339"/>
      <c r="M147" s="5339"/>
      <c r="N147" s="5391"/>
      <c r="O147" s="5400"/>
      <c r="P147" s="5339"/>
      <c r="Q147" s="5339"/>
      <c r="R147" s="5401"/>
      <c r="S147" s="5394"/>
      <c r="T147" s="1356"/>
      <c r="U147" s="1357"/>
      <c r="V147" s="1357"/>
      <c r="W147" s="5396"/>
      <c r="X147" s="2016"/>
      <c r="Y147" s="1180"/>
      <c r="Z147" s="1180"/>
      <c r="AA147" s="1180"/>
      <c r="AB147" s="1180"/>
      <c r="AC147" s="1180"/>
      <c r="AD147" s="1180"/>
      <c r="AE147" s="1180"/>
      <c r="AF147" s="1180"/>
      <c r="AG147" s="1180"/>
      <c r="AH147" s="1180"/>
      <c r="AI147" s="1180"/>
      <c r="AJ147" s="1180"/>
      <c r="AK147" s="1180"/>
      <c r="AL147" s="2016"/>
      <c r="AM147" s="2016"/>
      <c r="AN147" s="2016"/>
      <c r="AO147" s="2016"/>
      <c r="AP147" s="2016"/>
      <c r="AQ147" s="2016"/>
      <c r="AR147" s="2016"/>
    </row>
    <row r="148" spans="1:44" ht="17.25" customHeight="1">
      <c r="A148" s="1758"/>
      <c r="B148" s="2016"/>
      <c r="C148" s="1760"/>
      <c r="D148" s="5366"/>
      <c r="E148" s="5367"/>
      <c r="F148" s="5364"/>
      <c r="G148" s="5369"/>
      <c r="H148" s="5366"/>
      <c r="I148" s="5366"/>
      <c r="J148" s="5397"/>
      <c r="K148" s="5369"/>
      <c r="L148" s="5366"/>
      <c r="M148" s="5366"/>
      <c r="N148" s="5392"/>
      <c r="O148" s="5400"/>
      <c r="P148" s="5339" t="s">
        <v>104</v>
      </c>
      <c r="Q148" s="5339" t="s">
        <v>103</v>
      </c>
      <c r="R148" s="5401" t="s">
        <v>336</v>
      </c>
      <c r="S148" s="5394" t="s">
        <v>19</v>
      </c>
      <c r="T148" s="1722"/>
      <c r="U148" s="1722" t="s">
        <v>136</v>
      </c>
      <c r="V148" s="1355"/>
      <c r="W148" s="5396"/>
      <c r="X148" s="2016"/>
      <c r="Y148" s="1188"/>
      <c r="Z148" s="1188"/>
      <c r="AA148" s="1188"/>
      <c r="AB148" s="1188"/>
      <c r="AC148" s="2017" t="s">
        <v>296</v>
      </c>
      <c r="AD148" s="2017" t="s">
        <v>297</v>
      </c>
      <c r="AE148" s="2017" t="s">
        <v>333</v>
      </c>
      <c r="AF148" s="1188" t="s">
        <v>337</v>
      </c>
      <c r="AG148" s="1188" t="s">
        <v>338</v>
      </c>
      <c r="AH148" s="1188" t="str">
        <f>IF($E$121=0,"",$E$121)</f>
        <v>Тариф на водоотведение</v>
      </c>
      <c r="AI148" s="1188" t="str">
        <f>IF($G$121=0,"",$G$121)</f>
        <v>Водоотведение</v>
      </c>
      <c r="AJ148" s="1188" t="str">
        <f>IF($J$121=0,"",$J$121)</f>
        <v>Тариф на водоотведение</v>
      </c>
      <c r="AK148" s="1188" t="str">
        <f>IF($K$146="нет","без дифференциации",IF($N$146=0,"",$N$146))</f>
        <v>Территория 6</v>
      </c>
      <c r="AL148" s="1762" t="str">
        <f>IF($O$148="нет","без дифференциации",IF($R$148=0,"",$R$148))</f>
        <v>ЗАТО Фокино</v>
      </c>
      <c r="AM148" s="1762"/>
      <c r="AN148" s="1188">
        <f>$I$121</f>
        <v>1</v>
      </c>
      <c r="AO148" s="1188" t="str">
        <f>$I$121&amp;"."&amp;$M$146</f>
        <v>1.6</v>
      </c>
      <c r="AP148" s="1188" t="str">
        <f>$I$121&amp;"."&amp;$M$146&amp;"."&amp;$Q$148</f>
        <v>1.6.2</v>
      </c>
      <c r="AQ148" s="1188"/>
      <c r="AR148" s="2016"/>
    </row>
    <row r="149" spans="1:44" ht="17.25" customHeight="1">
      <c r="A149" s="1758"/>
      <c r="B149" s="2016"/>
      <c r="C149" s="1763"/>
      <c r="D149" s="5366"/>
      <c r="E149" s="5367"/>
      <c r="F149" s="5364"/>
      <c r="G149" s="5369"/>
      <c r="H149" s="5366"/>
      <c r="I149" s="5366"/>
      <c r="J149" s="5397"/>
      <c r="K149" s="5369"/>
      <c r="L149" s="5366"/>
      <c r="M149" s="5366"/>
      <c r="N149" s="5392"/>
      <c r="O149" s="5400"/>
      <c r="P149" s="5339"/>
      <c r="Q149" s="5339"/>
      <c r="R149" s="5401"/>
      <c r="S149" s="5394"/>
      <c r="T149" s="1356"/>
      <c r="U149" s="1357"/>
      <c r="V149" s="1357"/>
      <c r="W149" s="5396"/>
      <c r="X149" s="2016"/>
      <c r="Y149" s="1180"/>
      <c r="Z149" s="1180"/>
      <c r="AA149" s="1180"/>
      <c r="AB149" s="1180"/>
      <c r="AC149" s="1180"/>
      <c r="AD149" s="1180"/>
      <c r="AE149" s="1180"/>
      <c r="AF149" s="1180"/>
      <c r="AG149" s="1180"/>
      <c r="AH149" s="1180"/>
      <c r="AI149" s="1180"/>
      <c r="AJ149" s="1180"/>
      <c r="AK149" s="1180"/>
      <c r="AL149" s="2016"/>
      <c r="AM149" s="2016"/>
      <c r="AN149" s="2016"/>
      <c r="AO149" s="2016"/>
      <c r="AP149" s="2016"/>
      <c r="AQ149" s="2016"/>
      <c r="AR149" s="2016"/>
    </row>
    <row r="150" spans="1:44" ht="17.25" customHeight="1">
      <c r="A150" s="1758"/>
      <c r="B150" s="2016"/>
      <c r="C150" s="1763"/>
      <c r="D150" s="5366"/>
      <c r="E150" s="5367"/>
      <c r="F150" s="5364"/>
      <c r="G150" s="5369"/>
      <c r="H150" s="5366"/>
      <c r="I150" s="5366"/>
      <c r="J150" s="5397"/>
      <c r="K150" s="5369"/>
      <c r="L150" s="5362"/>
      <c r="M150" s="5362"/>
      <c r="N150" s="5393"/>
      <c r="O150" s="5343"/>
      <c r="P150" s="255"/>
      <c r="Q150" s="256"/>
      <c r="R150" s="256" t="s">
        <v>312</v>
      </c>
      <c r="S150" s="1764"/>
      <c r="T150" s="1764"/>
      <c r="U150" s="1764"/>
      <c r="V150" s="1764"/>
      <c r="W150" s="1354"/>
      <c r="X150" s="2016"/>
      <c r="Y150" s="1180"/>
      <c r="Z150" s="1180"/>
      <c r="AA150" s="1180"/>
      <c r="AB150" s="1180"/>
      <c r="AC150" s="1180"/>
      <c r="AD150" s="1180"/>
      <c r="AE150" s="1180"/>
      <c r="AF150" s="1180"/>
      <c r="AG150" s="1180"/>
      <c r="AH150" s="1180"/>
      <c r="AI150" s="1180"/>
      <c r="AJ150" s="1180"/>
      <c r="AK150" s="1180"/>
      <c r="AL150" s="2016"/>
      <c r="AM150" s="2016"/>
      <c r="AN150" s="2016"/>
      <c r="AO150" s="2016"/>
      <c r="AP150" s="2016"/>
      <c r="AQ150" s="2016"/>
      <c r="AR150" s="2016"/>
    </row>
    <row r="151" spans="1:44" ht="17.25" customHeight="1">
      <c r="A151" s="1758"/>
      <c r="B151" s="2016"/>
      <c r="C151" s="1760"/>
      <c r="D151" s="5366"/>
      <c r="E151" s="5367"/>
      <c r="F151" s="5364"/>
      <c r="G151" s="5369"/>
      <c r="H151" s="5366"/>
      <c r="I151" s="5366"/>
      <c r="J151" s="5397"/>
      <c r="K151" s="5369"/>
      <c r="L151" s="5339" t="s">
        <v>104</v>
      </c>
      <c r="M151" s="5339" t="s">
        <v>93</v>
      </c>
      <c r="N151" s="5391" t="str">
        <f>IF(Z151="","",INDEX(TERRITORY_MR_LIST,MATCH(Z151,TERRITORY_LIST_ID,0)))</f>
        <v>Территория 7</v>
      </c>
      <c r="O151" s="5399" t="s">
        <v>66</v>
      </c>
      <c r="P151" s="5339"/>
      <c r="Q151" s="5339" t="s">
        <v>136</v>
      </c>
      <c r="R151" s="5401" t="s">
        <v>339</v>
      </c>
      <c r="S151" s="5394" t="s">
        <v>19</v>
      </c>
      <c r="T151" s="1722"/>
      <c r="U151" s="1722" t="s">
        <v>136</v>
      </c>
      <c r="V151" s="1355"/>
      <c r="W151" s="5396"/>
      <c r="X151" s="2016"/>
      <c r="Y151" s="1188"/>
      <c r="Z151" s="1188" t="s">
        <v>126</v>
      </c>
      <c r="AA151" s="1188"/>
      <c r="AB151" s="1188"/>
      <c r="AC151" s="2017" t="s">
        <v>296</v>
      </c>
      <c r="AD151" s="2017" t="s">
        <v>297</v>
      </c>
      <c r="AE151" s="1188" t="s">
        <v>340</v>
      </c>
      <c r="AF151" s="1188" t="s">
        <v>341</v>
      </c>
      <c r="AG151" s="1188" t="s">
        <v>342</v>
      </c>
      <c r="AH151" s="1188" t="str">
        <f>IF($E$121=0,"",$E$121)</f>
        <v>Тариф на водоотведение</v>
      </c>
      <c r="AI151" s="1188" t="str">
        <f>IF($G$121=0,"",$G$121)</f>
        <v>Водоотведение</v>
      </c>
      <c r="AJ151" s="1188" t="str">
        <f>IF($J$121=0,"",$J$121)</f>
        <v>Тариф на водоотведение</v>
      </c>
      <c r="AK151" s="1188" t="str">
        <f>IF($K$151="нет","без дифференциации",IF($N$151=0,"",$N$151))</f>
        <v>Территория 7</v>
      </c>
      <c r="AL151" s="1762" t="str">
        <f>IF($O$151="нет","без дифференциации",IF($R$151=0,"",$R$151))</f>
        <v>ГО Спасск-Дальний</v>
      </c>
      <c r="AM151" s="1762"/>
      <c r="AN151" s="1188">
        <f>$I$121</f>
        <v>1</v>
      </c>
      <c r="AO151" s="1188" t="str">
        <f>$I$121&amp;"."&amp;$M$151</f>
        <v>1.7</v>
      </c>
      <c r="AP151" s="1188" t="str">
        <f>$I$121&amp;"."&amp;$M$151&amp;"."&amp;$Q$151</f>
        <v>1.7.1</v>
      </c>
      <c r="AQ151" s="1188"/>
      <c r="AR151" s="2016"/>
    </row>
    <row r="152" spans="1:44" ht="17.25" customHeight="1">
      <c r="A152" s="1758"/>
      <c r="B152" s="2016"/>
      <c r="C152" s="1763"/>
      <c r="D152" s="5366"/>
      <c r="E152" s="5367"/>
      <c r="F152" s="5364"/>
      <c r="G152" s="5369"/>
      <c r="H152" s="5366"/>
      <c r="I152" s="5366"/>
      <c r="J152" s="5397"/>
      <c r="K152" s="5369"/>
      <c r="L152" s="5339"/>
      <c r="M152" s="5339"/>
      <c r="N152" s="5391"/>
      <c r="O152" s="5400"/>
      <c r="P152" s="5339"/>
      <c r="Q152" s="5339"/>
      <c r="R152" s="5401"/>
      <c r="S152" s="5394"/>
      <c r="T152" s="1356"/>
      <c r="U152" s="1357"/>
      <c r="V152" s="1357"/>
      <c r="W152" s="5396"/>
      <c r="X152" s="2016"/>
      <c r="Y152" s="1180"/>
      <c r="Z152" s="1180"/>
      <c r="AA152" s="1180"/>
      <c r="AB152" s="1180"/>
      <c r="AC152" s="1180"/>
      <c r="AD152" s="1180"/>
      <c r="AE152" s="1180"/>
      <c r="AF152" s="1180"/>
      <c r="AG152" s="1180"/>
      <c r="AH152" s="1180"/>
      <c r="AI152" s="1180"/>
      <c r="AJ152" s="1180"/>
      <c r="AK152" s="1180"/>
      <c r="AL152" s="2016"/>
      <c r="AM152" s="2016"/>
      <c r="AN152" s="2016"/>
      <c r="AO152" s="2016"/>
      <c r="AP152" s="2016"/>
      <c r="AQ152" s="2016"/>
      <c r="AR152" s="2016"/>
    </row>
    <row r="153" spans="1:44" ht="17.25" customHeight="1">
      <c r="A153" s="1758"/>
      <c r="B153" s="2016"/>
      <c r="C153" s="1763"/>
      <c r="D153" s="5366"/>
      <c r="E153" s="5367"/>
      <c r="F153" s="5364"/>
      <c r="G153" s="5369"/>
      <c r="H153" s="5366"/>
      <c r="I153" s="5366"/>
      <c r="J153" s="5397"/>
      <c r="K153" s="5369"/>
      <c r="L153" s="5362"/>
      <c r="M153" s="5362"/>
      <c r="N153" s="5393"/>
      <c r="O153" s="5343"/>
      <c r="P153" s="255"/>
      <c r="Q153" s="256"/>
      <c r="R153" s="256" t="s">
        <v>312</v>
      </c>
      <c r="S153" s="1764"/>
      <c r="T153" s="1764"/>
      <c r="U153" s="1764"/>
      <c r="V153" s="1764"/>
      <c r="W153" s="1354"/>
      <c r="X153" s="2016"/>
      <c r="Y153" s="1180"/>
      <c r="Z153" s="1180"/>
      <c r="AA153" s="1180"/>
      <c r="AB153" s="1180"/>
      <c r="AC153" s="1180"/>
      <c r="AD153" s="1180"/>
      <c r="AE153" s="1180"/>
      <c r="AF153" s="1180"/>
      <c r="AG153" s="1180"/>
      <c r="AH153" s="1180"/>
      <c r="AI153" s="1180"/>
      <c r="AJ153" s="1180"/>
      <c r="AK153" s="1180"/>
      <c r="AL153" s="2016"/>
      <c r="AM153" s="2016"/>
      <c r="AN153" s="2016"/>
      <c r="AO153" s="2016"/>
      <c r="AP153" s="2016"/>
      <c r="AQ153" s="2016"/>
      <c r="AR153" s="2016"/>
    </row>
    <row r="154" spans="1:44" ht="17.25" customHeight="1">
      <c r="A154" s="1758"/>
      <c r="B154" s="2016"/>
      <c r="C154" s="1760"/>
      <c r="D154" s="5366"/>
      <c r="E154" s="5367"/>
      <c r="F154" s="5364"/>
      <c r="G154" s="5369"/>
      <c r="H154" s="5366"/>
      <c r="I154" s="5366"/>
      <c r="J154" s="5397"/>
      <c r="K154" s="5369"/>
      <c r="L154" s="5339" t="s">
        <v>104</v>
      </c>
      <c r="M154" s="5339" t="s">
        <v>129</v>
      </c>
      <c r="N154" s="5391" t="str">
        <f>IF(Z154="","",INDEX(TERRITORY_MR_LIST,MATCH(Z154,TERRITORY_LIST_ID,0)))</f>
        <v>Территория 8</v>
      </c>
      <c r="O154" s="5399" t="s">
        <v>66</v>
      </c>
      <c r="P154" s="5339"/>
      <c r="Q154" s="5339" t="s">
        <v>136</v>
      </c>
      <c r="R154" s="5401" t="s">
        <v>343</v>
      </c>
      <c r="S154" s="5394" t="s">
        <v>19</v>
      </c>
      <c r="T154" s="1722"/>
      <c r="U154" s="1722" t="s">
        <v>136</v>
      </c>
      <c r="V154" s="1355"/>
      <c r="W154" s="5396"/>
      <c r="X154" s="2016"/>
      <c r="Y154" s="1188"/>
      <c r="Z154" s="1188" t="s">
        <v>130</v>
      </c>
      <c r="AA154" s="1188"/>
      <c r="AB154" s="1188"/>
      <c r="AC154" s="2017" t="s">
        <v>296</v>
      </c>
      <c r="AD154" s="2017" t="s">
        <v>297</v>
      </c>
      <c r="AE154" s="1188" t="s">
        <v>344</v>
      </c>
      <c r="AF154" s="1188" t="s">
        <v>345</v>
      </c>
      <c r="AG154" s="1188" t="s">
        <v>346</v>
      </c>
      <c r="AH154" s="1188" t="str">
        <f>IF($E$121=0,"",$E$121)</f>
        <v>Тариф на водоотведение</v>
      </c>
      <c r="AI154" s="1188" t="str">
        <f>IF($G$121=0,"",$G$121)</f>
        <v>Водоотведение</v>
      </c>
      <c r="AJ154" s="1188" t="str">
        <f>IF($J$121=0,"",$J$121)</f>
        <v>Тариф на водоотведение</v>
      </c>
      <c r="AK154" s="1188" t="str">
        <f>IF($K$154="нет","без дифференциации",IF($N$154=0,"",$N$154))</f>
        <v>Территория 8</v>
      </c>
      <c r="AL154" s="1762" t="str">
        <f>IF($O$154="нет","без дифференциации",IF($R$154=0,"",$R$154))</f>
        <v>с. Реттиховка</v>
      </c>
      <c r="AM154" s="1762"/>
      <c r="AN154" s="1188">
        <f>$I$121</f>
        <v>1</v>
      </c>
      <c r="AO154" s="1188" t="str">
        <f>$I$121&amp;"."&amp;$M$154</f>
        <v>1.8</v>
      </c>
      <c r="AP154" s="1188" t="str">
        <f>$I$121&amp;"."&amp;$M$154&amp;"."&amp;$Q$154</f>
        <v>1.8.1</v>
      </c>
      <c r="AQ154" s="1188"/>
      <c r="AR154" s="2016"/>
    </row>
    <row r="155" spans="1:44" ht="17.25" customHeight="1">
      <c r="A155" s="1758"/>
      <c r="B155" s="2016"/>
      <c r="C155" s="1763"/>
      <c r="D155" s="5366"/>
      <c r="E155" s="5367"/>
      <c r="F155" s="5364"/>
      <c r="G155" s="5369"/>
      <c r="H155" s="5366"/>
      <c r="I155" s="5366"/>
      <c r="J155" s="5397"/>
      <c r="K155" s="5369"/>
      <c r="L155" s="5339"/>
      <c r="M155" s="5339"/>
      <c r="N155" s="5391"/>
      <c r="O155" s="5400"/>
      <c r="P155" s="5339"/>
      <c r="Q155" s="5339"/>
      <c r="R155" s="5401"/>
      <c r="S155" s="5394"/>
      <c r="T155" s="1356"/>
      <c r="U155" s="1357"/>
      <c r="V155" s="1357"/>
      <c r="W155" s="5396"/>
      <c r="X155" s="2016"/>
      <c r="Y155" s="1180"/>
      <c r="Z155" s="1180"/>
      <c r="AA155" s="1180"/>
      <c r="AB155" s="1180"/>
      <c r="AC155" s="1180"/>
      <c r="AD155" s="1180"/>
      <c r="AE155" s="1180"/>
      <c r="AF155" s="1180"/>
      <c r="AG155" s="1180"/>
      <c r="AH155" s="1180"/>
      <c r="AI155" s="1180"/>
      <c r="AJ155" s="1180"/>
      <c r="AK155" s="1180"/>
      <c r="AL155" s="2016"/>
      <c r="AM155" s="2016"/>
      <c r="AN155" s="2016"/>
      <c r="AO155" s="2016"/>
      <c r="AP155" s="2016"/>
      <c r="AQ155" s="2016"/>
      <c r="AR155" s="2016"/>
    </row>
    <row r="156" spans="1:44" ht="17.25" customHeight="1">
      <c r="A156" s="1758"/>
      <c r="B156" s="2016"/>
      <c r="C156" s="1760"/>
      <c r="D156" s="5366"/>
      <c r="E156" s="5367"/>
      <c r="F156" s="5364"/>
      <c r="G156" s="5369"/>
      <c r="H156" s="5366"/>
      <c r="I156" s="5366"/>
      <c r="J156" s="5397"/>
      <c r="K156" s="5369"/>
      <c r="L156" s="5366"/>
      <c r="M156" s="5366"/>
      <c r="N156" s="5392"/>
      <c r="O156" s="5400"/>
      <c r="P156" s="5339" t="s">
        <v>104</v>
      </c>
      <c r="Q156" s="5339" t="s">
        <v>103</v>
      </c>
      <c r="R156" s="5401" t="s">
        <v>347</v>
      </c>
      <c r="S156" s="5394" t="s">
        <v>19</v>
      </c>
      <c r="T156" s="1722"/>
      <c r="U156" s="1722" t="s">
        <v>136</v>
      </c>
      <c r="V156" s="1355"/>
      <c r="W156" s="5396"/>
      <c r="X156" s="2016"/>
      <c r="Y156" s="1188"/>
      <c r="Z156" s="1188"/>
      <c r="AA156" s="1188"/>
      <c r="AB156" s="1188"/>
      <c r="AC156" s="2017" t="s">
        <v>296</v>
      </c>
      <c r="AD156" s="2017" t="s">
        <v>297</v>
      </c>
      <c r="AE156" s="2017" t="s">
        <v>344</v>
      </c>
      <c r="AF156" s="1188" t="s">
        <v>348</v>
      </c>
      <c r="AG156" s="1188" t="s">
        <v>349</v>
      </c>
      <c r="AH156" s="1188" t="str">
        <f>IF($E$121=0,"",$E$121)</f>
        <v>Тариф на водоотведение</v>
      </c>
      <c r="AI156" s="1188" t="str">
        <f>IF($G$121=0,"",$G$121)</f>
        <v>Водоотведение</v>
      </c>
      <c r="AJ156" s="1188" t="str">
        <f>IF($J$121=0,"",$J$121)</f>
        <v>Тариф на водоотведение</v>
      </c>
      <c r="AK156" s="1188" t="str">
        <f>IF($K$154="нет","без дифференциации",IF($N$154=0,"",$N$154))</f>
        <v>Территория 8</v>
      </c>
      <c r="AL156" s="1762" t="str">
        <f>IF($O$156="нет","без дифференциации",IF($R$156=0,"",$R$156))</f>
        <v>с. Майское, с. Дмитриевка</v>
      </c>
      <c r="AM156" s="1762"/>
      <c r="AN156" s="1188">
        <f>$I$121</f>
        <v>1</v>
      </c>
      <c r="AO156" s="1188" t="str">
        <f>$I$121&amp;"."&amp;$M$154</f>
        <v>1.8</v>
      </c>
      <c r="AP156" s="1188" t="str">
        <f>$I$121&amp;"."&amp;$M$154&amp;"."&amp;$Q$156</f>
        <v>1.8.2</v>
      </c>
      <c r="AQ156" s="1188"/>
      <c r="AR156" s="2016"/>
    </row>
    <row r="157" spans="1:44" ht="17.25" customHeight="1">
      <c r="A157" s="1758"/>
      <c r="B157" s="2016"/>
      <c r="C157" s="1763"/>
      <c r="D157" s="5366"/>
      <c r="E157" s="5367"/>
      <c r="F157" s="5364"/>
      <c r="G157" s="5369"/>
      <c r="H157" s="5366"/>
      <c r="I157" s="5366"/>
      <c r="J157" s="5397"/>
      <c r="K157" s="5369"/>
      <c r="L157" s="5366"/>
      <c r="M157" s="5366"/>
      <c r="N157" s="5392"/>
      <c r="O157" s="5400"/>
      <c r="P157" s="5339"/>
      <c r="Q157" s="5339"/>
      <c r="R157" s="5401"/>
      <c r="S157" s="5394"/>
      <c r="T157" s="1356"/>
      <c r="U157" s="1357"/>
      <c r="V157" s="1357"/>
      <c r="W157" s="5396"/>
      <c r="X157" s="2016"/>
      <c r="Y157" s="1180"/>
      <c r="Z157" s="1180"/>
      <c r="AA157" s="1180"/>
      <c r="AB157" s="1180"/>
      <c r="AC157" s="1180"/>
      <c r="AD157" s="1180"/>
      <c r="AE157" s="1180"/>
      <c r="AF157" s="1180"/>
      <c r="AG157" s="1180"/>
      <c r="AH157" s="1180"/>
      <c r="AI157" s="1180"/>
      <c r="AJ157" s="1180"/>
      <c r="AK157" s="1180"/>
      <c r="AL157" s="2016"/>
      <c r="AM157" s="2016"/>
      <c r="AN157" s="2016"/>
      <c r="AO157" s="2016"/>
      <c r="AP157" s="2016"/>
      <c r="AQ157" s="2016"/>
      <c r="AR157" s="2016"/>
    </row>
    <row r="158" spans="1:44" ht="17.25" customHeight="1">
      <c r="A158" s="1758"/>
      <c r="B158" s="2016"/>
      <c r="C158" s="1760"/>
      <c r="D158" s="5366"/>
      <c r="E158" s="5367"/>
      <c r="F158" s="5364"/>
      <c r="G158" s="5369"/>
      <c r="H158" s="5366"/>
      <c r="I158" s="5366"/>
      <c r="J158" s="5397"/>
      <c r="K158" s="5369"/>
      <c r="L158" s="5366"/>
      <c r="M158" s="5366"/>
      <c r="N158" s="5392"/>
      <c r="O158" s="5400"/>
      <c r="P158" s="5339" t="s">
        <v>104</v>
      </c>
      <c r="Q158" s="5339" t="s">
        <v>90</v>
      </c>
      <c r="R158" s="5401" t="s">
        <v>350</v>
      </c>
      <c r="S158" s="5394" t="s">
        <v>19</v>
      </c>
      <c r="T158" s="1722"/>
      <c r="U158" s="1722" t="s">
        <v>136</v>
      </c>
      <c r="V158" s="1355"/>
      <c r="W158" s="5396"/>
      <c r="X158" s="2016"/>
      <c r="Y158" s="1188"/>
      <c r="Z158" s="1188"/>
      <c r="AA158" s="1188"/>
      <c r="AB158" s="1188"/>
      <c r="AC158" s="2017" t="s">
        <v>296</v>
      </c>
      <c r="AD158" s="2017" t="s">
        <v>297</v>
      </c>
      <c r="AE158" s="2017" t="s">
        <v>344</v>
      </c>
      <c r="AF158" s="1188" t="s">
        <v>351</v>
      </c>
      <c r="AG158" s="1188" t="s">
        <v>352</v>
      </c>
      <c r="AH158" s="1188" t="str">
        <f>IF($E$121=0,"",$E$121)</f>
        <v>Тариф на водоотведение</v>
      </c>
      <c r="AI158" s="1188" t="str">
        <f>IF($G$121=0,"",$G$121)</f>
        <v>Водоотведение</v>
      </c>
      <c r="AJ158" s="1188" t="str">
        <f>IF($J$121=0,"",$J$121)</f>
        <v>Тариф на водоотведение</v>
      </c>
      <c r="AK158" s="1188" t="str">
        <f>IF($K$154="нет","без дифференциации",IF($N$154=0,"",$N$154))</f>
        <v>Территория 8</v>
      </c>
      <c r="AL158" s="1762" t="str">
        <f>IF($O$158="нет","без дифференциации",IF($R$158=0,"",$R$158))</f>
        <v>с. Черниговка</v>
      </c>
      <c r="AM158" s="1762"/>
      <c r="AN158" s="1188">
        <f>$I$121</f>
        <v>1</v>
      </c>
      <c r="AO158" s="1188" t="str">
        <f>$I$121&amp;"."&amp;$M$154</f>
        <v>1.8</v>
      </c>
      <c r="AP158" s="1188" t="str">
        <f>$I$121&amp;"."&amp;$M$154&amp;"."&amp;$Q$158</f>
        <v>1.8.3</v>
      </c>
      <c r="AQ158" s="1188"/>
      <c r="AR158" s="2016"/>
    </row>
    <row r="159" spans="1:44" ht="17.25" customHeight="1">
      <c r="A159" s="1758"/>
      <c r="B159" s="2016"/>
      <c r="C159" s="1763"/>
      <c r="D159" s="5366"/>
      <c r="E159" s="5367"/>
      <c r="F159" s="5364"/>
      <c r="G159" s="5369"/>
      <c r="H159" s="5366"/>
      <c r="I159" s="5366"/>
      <c r="J159" s="5397"/>
      <c r="K159" s="5369"/>
      <c r="L159" s="5366"/>
      <c r="M159" s="5366"/>
      <c r="N159" s="5392"/>
      <c r="O159" s="5400"/>
      <c r="P159" s="5339"/>
      <c r="Q159" s="5339"/>
      <c r="R159" s="5401"/>
      <c r="S159" s="5394"/>
      <c r="T159" s="1356"/>
      <c r="U159" s="1357"/>
      <c r="V159" s="1357"/>
      <c r="W159" s="5396"/>
      <c r="X159" s="2016"/>
      <c r="Y159" s="1180"/>
      <c r="Z159" s="1180"/>
      <c r="AA159" s="1180"/>
      <c r="AB159" s="1180"/>
      <c r="AC159" s="1180"/>
      <c r="AD159" s="1180"/>
      <c r="AE159" s="1180"/>
      <c r="AF159" s="1180"/>
      <c r="AG159" s="1180"/>
      <c r="AH159" s="1180"/>
      <c r="AI159" s="1180"/>
      <c r="AJ159" s="1180"/>
      <c r="AK159" s="1180"/>
      <c r="AL159" s="2016"/>
      <c r="AM159" s="2016"/>
      <c r="AN159" s="2016"/>
      <c r="AO159" s="2016"/>
      <c r="AP159" s="2016"/>
      <c r="AQ159" s="2016"/>
      <c r="AR159" s="2016"/>
    </row>
    <row r="160" spans="1:44" ht="17.25" customHeight="1">
      <c r="A160" s="1758"/>
      <c r="B160" s="2016"/>
      <c r="C160" s="1760"/>
      <c r="D160" s="5366"/>
      <c r="E160" s="5367"/>
      <c r="F160" s="5364"/>
      <c r="G160" s="5369"/>
      <c r="H160" s="5366"/>
      <c r="I160" s="5366"/>
      <c r="J160" s="5397"/>
      <c r="K160" s="5369"/>
      <c r="L160" s="5366"/>
      <c r="M160" s="5366"/>
      <c r="N160" s="5392"/>
      <c r="O160" s="5400"/>
      <c r="P160" s="5339" t="s">
        <v>104</v>
      </c>
      <c r="Q160" s="5339" t="s">
        <v>91</v>
      </c>
      <c r="R160" s="5401" t="s">
        <v>353</v>
      </c>
      <c r="S160" s="5394" t="s">
        <v>19</v>
      </c>
      <c r="T160" s="1722"/>
      <c r="U160" s="1722" t="s">
        <v>136</v>
      </c>
      <c r="V160" s="1355"/>
      <c r="W160" s="5396"/>
      <c r="X160" s="2016"/>
      <c r="Y160" s="1188"/>
      <c r="Z160" s="1188"/>
      <c r="AA160" s="1188"/>
      <c r="AB160" s="1188"/>
      <c r="AC160" s="2017" t="s">
        <v>296</v>
      </c>
      <c r="AD160" s="2017" t="s">
        <v>297</v>
      </c>
      <c r="AE160" s="2017" t="s">
        <v>344</v>
      </c>
      <c r="AF160" s="1188" t="s">
        <v>354</v>
      </c>
      <c r="AG160" s="1188" t="s">
        <v>355</v>
      </c>
      <c r="AH160" s="1188" t="str">
        <f>IF($E$121=0,"",$E$121)</f>
        <v>Тариф на водоотведение</v>
      </c>
      <c r="AI160" s="1188" t="str">
        <f>IF($G$121=0,"",$G$121)</f>
        <v>Водоотведение</v>
      </c>
      <c r="AJ160" s="1188" t="str">
        <f>IF($J$121=0,"",$J$121)</f>
        <v>Тариф на водоотведение</v>
      </c>
      <c r="AK160" s="1188" t="str">
        <f>IF($K$154="нет","без дифференциации",IF($N$154=0,"",$N$154))</f>
        <v>Территория 8</v>
      </c>
      <c r="AL160" s="1762" t="str">
        <f>IF($O$160="нет","без дифференциации",IF($R$160=0,"",$R$160))</f>
        <v>с. Снегуровка</v>
      </c>
      <c r="AM160" s="1762"/>
      <c r="AN160" s="1188">
        <f>$I$121</f>
        <v>1</v>
      </c>
      <c r="AO160" s="1188" t="str">
        <f>$I$121&amp;"."&amp;$M$154</f>
        <v>1.8</v>
      </c>
      <c r="AP160" s="1188" t="str">
        <f>$I$121&amp;"."&amp;$M$154&amp;"."&amp;$Q$160</f>
        <v>1.8.4</v>
      </c>
      <c r="AQ160" s="1188"/>
      <c r="AR160" s="2016"/>
    </row>
    <row r="161" spans="1:44" ht="17.25" customHeight="1">
      <c r="A161" s="1758"/>
      <c r="B161" s="2016"/>
      <c r="C161" s="1763"/>
      <c r="D161" s="5366"/>
      <c r="E161" s="5367"/>
      <c r="F161" s="5364"/>
      <c r="G161" s="5369"/>
      <c r="H161" s="5366"/>
      <c r="I161" s="5366"/>
      <c r="J161" s="5397"/>
      <c r="K161" s="5369"/>
      <c r="L161" s="5366"/>
      <c r="M161" s="5366"/>
      <c r="N161" s="5392"/>
      <c r="O161" s="5400"/>
      <c r="P161" s="5339"/>
      <c r="Q161" s="5339"/>
      <c r="R161" s="5401"/>
      <c r="S161" s="5394"/>
      <c r="T161" s="1356"/>
      <c r="U161" s="1357"/>
      <c r="V161" s="1357"/>
      <c r="W161" s="5396"/>
      <c r="X161" s="2016"/>
      <c r="Y161" s="1180"/>
      <c r="Z161" s="1180"/>
      <c r="AA161" s="1180"/>
      <c r="AB161" s="1180"/>
      <c r="AC161" s="1180"/>
      <c r="AD161" s="1180"/>
      <c r="AE161" s="1180"/>
      <c r="AF161" s="1180"/>
      <c r="AG161" s="1180"/>
      <c r="AH161" s="1180"/>
      <c r="AI161" s="1180"/>
      <c r="AJ161" s="1180"/>
      <c r="AK161" s="1180"/>
      <c r="AL161" s="2016"/>
      <c r="AM161" s="2016"/>
      <c r="AN161" s="2016"/>
      <c r="AO161" s="2016"/>
      <c r="AP161" s="2016"/>
      <c r="AQ161" s="2016"/>
      <c r="AR161" s="2016"/>
    </row>
    <row r="162" spans="1:44" ht="17.25" customHeight="1">
      <c r="A162" s="1758"/>
      <c r="B162" s="2016"/>
      <c r="C162" s="1763"/>
      <c r="D162" s="5366"/>
      <c r="E162" s="5367"/>
      <c r="F162" s="5364"/>
      <c r="G162" s="5369"/>
      <c r="H162" s="5366"/>
      <c r="I162" s="5366"/>
      <c r="J162" s="5397"/>
      <c r="K162" s="5369"/>
      <c r="L162" s="5362"/>
      <c r="M162" s="5362"/>
      <c r="N162" s="5393"/>
      <c r="O162" s="5343"/>
      <c r="P162" s="255"/>
      <c r="Q162" s="256"/>
      <c r="R162" s="256" t="s">
        <v>312</v>
      </c>
      <c r="S162" s="1764"/>
      <c r="T162" s="1764"/>
      <c r="U162" s="1764"/>
      <c r="V162" s="1764"/>
      <c r="W162" s="1354"/>
      <c r="X162" s="2016"/>
      <c r="Y162" s="1180"/>
      <c r="Z162" s="1180"/>
      <c r="AA162" s="1180"/>
      <c r="AB162" s="1180"/>
      <c r="AC162" s="1180"/>
      <c r="AD162" s="1180"/>
      <c r="AE162" s="1180"/>
      <c r="AF162" s="1180"/>
      <c r="AG162" s="1180"/>
      <c r="AH162" s="1180"/>
      <c r="AI162" s="1180"/>
      <c r="AJ162" s="1180"/>
      <c r="AK162" s="1180"/>
      <c r="AL162" s="2016"/>
      <c r="AM162" s="2016"/>
      <c r="AN162" s="2016"/>
      <c r="AO162" s="2016"/>
      <c r="AP162" s="2016"/>
      <c r="AQ162" s="2016"/>
      <c r="AR162" s="2016"/>
    </row>
    <row r="163" spans="1:44" ht="17.25" customHeight="1">
      <c r="A163" s="1758"/>
      <c r="B163" s="2016"/>
      <c r="C163" s="1760"/>
      <c r="D163" s="5366"/>
      <c r="E163" s="5367"/>
      <c r="F163" s="5364"/>
      <c r="G163" s="5369"/>
      <c r="H163" s="5366"/>
      <c r="I163" s="5366"/>
      <c r="J163" s="5397"/>
      <c r="K163" s="5369"/>
      <c r="L163" s="5339" t="s">
        <v>104</v>
      </c>
      <c r="M163" s="5339" t="s">
        <v>134</v>
      </c>
      <c r="N163" s="5391" t="str">
        <f>IF(Z163="","",INDEX(TERRITORY_MR_LIST,MATCH(Z163,TERRITORY_LIST_ID,0)))</f>
        <v>Территория 9</v>
      </c>
      <c r="O163" s="5399" t="s">
        <v>66</v>
      </c>
      <c r="P163" s="5339"/>
      <c r="Q163" s="5339" t="s">
        <v>136</v>
      </c>
      <c r="R163" s="5401" t="s">
        <v>356</v>
      </c>
      <c r="S163" s="5394" t="s">
        <v>19</v>
      </c>
      <c r="T163" s="1722"/>
      <c r="U163" s="1722" t="s">
        <v>136</v>
      </c>
      <c r="V163" s="1355"/>
      <c r="W163" s="5396"/>
      <c r="X163" s="2016"/>
      <c r="Y163" s="1188"/>
      <c r="Z163" s="1188" t="s">
        <v>135</v>
      </c>
      <c r="AA163" s="1188"/>
      <c r="AB163" s="1188"/>
      <c r="AC163" s="2017" t="s">
        <v>296</v>
      </c>
      <c r="AD163" s="2017" t="s">
        <v>297</v>
      </c>
      <c r="AE163" s="1188" t="s">
        <v>357</v>
      </c>
      <c r="AF163" s="1188" t="s">
        <v>358</v>
      </c>
      <c r="AG163" s="1188" t="s">
        <v>359</v>
      </c>
      <c r="AH163" s="1188" t="str">
        <f>IF($E$121=0,"",$E$121)</f>
        <v>Тариф на водоотведение</v>
      </c>
      <c r="AI163" s="1188" t="str">
        <f>IF($G$121=0,"",$G$121)</f>
        <v>Водоотведение</v>
      </c>
      <c r="AJ163" s="1188" t="str">
        <f>IF($J$121=0,"",$J$121)</f>
        <v>Тариф на водоотведение</v>
      </c>
      <c r="AK163" s="1188" t="str">
        <f>IF($K$163="нет","без дифференциации",IF($N$163=0,"",$N$163))</f>
        <v>Территория 9</v>
      </c>
      <c r="AL163" s="1762" t="str">
        <f>IF($O$163="нет","без дифференциации",IF($R$163=0,"",$R$163))</f>
        <v>с. Анучино</v>
      </c>
      <c r="AM163" s="1762"/>
      <c r="AN163" s="1188">
        <f>$I$121</f>
        <v>1</v>
      </c>
      <c r="AO163" s="1188" t="str">
        <f>$I$121&amp;"."&amp;$M$163</f>
        <v>1.9</v>
      </c>
      <c r="AP163" s="1188" t="str">
        <f>$I$121&amp;"."&amp;$M$163&amp;"."&amp;$Q$163</f>
        <v>1.9.1</v>
      </c>
      <c r="AQ163" s="1188"/>
      <c r="AR163" s="2016"/>
    </row>
    <row r="164" spans="1:44" ht="17.25" customHeight="1">
      <c r="A164" s="1758"/>
      <c r="B164" s="2016"/>
      <c r="C164" s="1763"/>
      <c r="D164" s="5366"/>
      <c r="E164" s="5367"/>
      <c r="F164" s="5364"/>
      <c r="G164" s="5369"/>
      <c r="H164" s="5366"/>
      <c r="I164" s="5366"/>
      <c r="J164" s="5397"/>
      <c r="K164" s="5369"/>
      <c r="L164" s="5339"/>
      <c r="M164" s="5339"/>
      <c r="N164" s="5391"/>
      <c r="O164" s="5400"/>
      <c r="P164" s="5339"/>
      <c r="Q164" s="5339"/>
      <c r="R164" s="5401"/>
      <c r="S164" s="5394"/>
      <c r="T164" s="1356"/>
      <c r="U164" s="1357"/>
      <c r="V164" s="1357"/>
      <c r="W164" s="5396"/>
      <c r="X164" s="2016"/>
      <c r="Y164" s="1180"/>
      <c r="Z164" s="1180"/>
      <c r="AA164" s="1180"/>
      <c r="AB164" s="1180"/>
      <c r="AC164" s="1180"/>
      <c r="AD164" s="1180"/>
      <c r="AE164" s="1180"/>
      <c r="AF164" s="1180"/>
      <c r="AG164" s="1180"/>
      <c r="AH164" s="1180"/>
      <c r="AI164" s="1180"/>
      <c r="AJ164" s="1180"/>
      <c r="AK164" s="1180"/>
      <c r="AL164" s="2016"/>
      <c r="AM164" s="2016"/>
      <c r="AN164" s="2016"/>
      <c r="AO164" s="2016"/>
      <c r="AP164" s="2016"/>
      <c r="AQ164" s="2016"/>
      <c r="AR164" s="2016"/>
    </row>
    <row r="165" spans="1:44" ht="17.25" customHeight="1">
      <c r="A165" s="1758"/>
      <c r="B165" s="2016"/>
      <c r="C165" s="1763"/>
      <c r="D165" s="5366"/>
      <c r="E165" s="5367"/>
      <c r="F165" s="5364"/>
      <c r="G165" s="5369"/>
      <c r="H165" s="5366"/>
      <c r="I165" s="5366"/>
      <c r="J165" s="5397"/>
      <c r="K165" s="5369"/>
      <c r="L165" s="5362"/>
      <c r="M165" s="5362"/>
      <c r="N165" s="5393"/>
      <c r="O165" s="5343"/>
      <c r="P165" s="255"/>
      <c r="Q165" s="256"/>
      <c r="R165" s="256" t="s">
        <v>312</v>
      </c>
      <c r="S165" s="1764"/>
      <c r="T165" s="1764"/>
      <c r="U165" s="1764"/>
      <c r="V165" s="1764"/>
      <c r="W165" s="1354"/>
      <c r="X165" s="2016"/>
      <c r="Y165" s="1180"/>
      <c r="Z165" s="1180"/>
      <c r="AA165" s="1180"/>
      <c r="AB165" s="1180"/>
      <c r="AC165" s="1180"/>
      <c r="AD165" s="1180"/>
      <c r="AE165" s="1180"/>
      <c r="AF165" s="1180"/>
      <c r="AG165" s="1180"/>
      <c r="AH165" s="1180"/>
      <c r="AI165" s="1180"/>
      <c r="AJ165" s="1180"/>
      <c r="AK165" s="1180"/>
      <c r="AL165" s="2016"/>
      <c r="AM165" s="2016"/>
      <c r="AN165" s="2016"/>
      <c r="AO165" s="2016"/>
      <c r="AP165" s="2016"/>
      <c r="AQ165" s="2016"/>
      <c r="AR165" s="2016"/>
    </row>
    <row r="166" spans="1:44" s="4284" customFormat="1" ht="17.25" customHeight="1">
      <c r="A166" s="259"/>
      <c r="C166" s="258"/>
      <c r="D166" s="5361"/>
      <c r="E166" s="5350"/>
      <c r="F166" s="5364"/>
      <c r="G166" s="5368"/>
      <c r="H166" s="5362"/>
      <c r="I166" s="5362"/>
      <c r="J166" s="5398"/>
      <c r="K166" s="5343"/>
      <c r="L166" s="2026"/>
      <c r="M166" s="2027"/>
      <c r="N166" s="2028" t="s">
        <v>360</v>
      </c>
      <c r="O166" s="2029"/>
      <c r="P166" s="2030"/>
      <c r="Q166" s="2031"/>
      <c r="R166" s="2032"/>
      <c r="S166" s="2033"/>
      <c r="T166" s="2034"/>
      <c r="U166" s="2035"/>
      <c r="V166" s="2036"/>
      <c r="W166" s="2037"/>
      <c r="Y166" s="1180"/>
      <c r="Z166" s="1180"/>
      <c r="AA166" s="1180"/>
      <c r="AB166" s="1180"/>
      <c r="AC166" s="1180"/>
      <c r="AD166" s="1180"/>
      <c r="AE166" s="1180"/>
      <c r="AF166" s="1180"/>
      <c r="AG166" s="1180"/>
      <c r="AH166" s="1180"/>
      <c r="AI166" s="1180"/>
      <c r="AJ166" s="1180"/>
      <c r="AK166" s="1180"/>
      <c r="AL166" s="1180"/>
      <c r="AM166" s="1180"/>
      <c r="AN166" s="1180"/>
      <c r="AO166" s="1180"/>
      <c r="AP166" s="1180"/>
      <c r="AQ166" s="1180"/>
      <c r="AR166" s="1388">
        <v>0</v>
      </c>
    </row>
    <row r="167" spans="1:44" s="4284" customFormat="1" ht="17.25" customHeight="1">
      <c r="A167" s="259"/>
      <c r="C167" s="258"/>
      <c r="D167" s="5362"/>
      <c r="E167" s="5351"/>
      <c r="F167" s="5365"/>
      <c r="G167" s="5370"/>
      <c r="H167" s="2038"/>
      <c r="I167" s="2039"/>
      <c r="J167" s="2040" t="s">
        <v>361</v>
      </c>
      <c r="K167" s="2041"/>
      <c r="L167" s="2042"/>
      <c r="M167" s="2043"/>
      <c r="N167" s="2044"/>
      <c r="O167" s="2045"/>
      <c r="P167" s="2046"/>
      <c r="Q167" s="2047"/>
      <c r="R167" s="2048"/>
      <c r="S167" s="2049"/>
      <c r="T167" s="2050"/>
      <c r="U167" s="2051"/>
      <c r="V167" s="2052"/>
      <c r="W167" s="2053"/>
      <c r="Y167" s="1180"/>
      <c r="Z167" s="1180"/>
      <c r="AA167" s="1180"/>
      <c r="AB167" s="1180"/>
      <c r="AC167" s="1180"/>
      <c r="AD167" s="1180"/>
      <c r="AE167" s="1180"/>
      <c r="AF167" s="1180"/>
      <c r="AG167" s="1180"/>
      <c r="AH167" s="1180"/>
      <c r="AI167" s="1180"/>
      <c r="AJ167" s="1180"/>
      <c r="AK167" s="1180"/>
      <c r="AL167" s="1180"/>
      <c r="AM167" s="1180"/>
      <c r="AN167" s="1180"/>
      <c r="AO167" s="1180"/>
      <c r="AP167" s="1180"/>
      <c r="AQ167" s="1180"/>
      <c r="AR167" s="1388">
        <v>0</v>
      </c>
    </row>
    <row r="168" spans="1:44" s="4284" customFormat="1" ht="17.25" customHeight="1">
      <c r="A168" s="259"/>
      <c r="C168" s="147"/>
      <c r="D168" s="5361">
        <v>2</v>
      </c>
      <c r="E168" s="5350" t="s">
        <v>362</v>
      </c>
      <c r="F168" s="5363" t="s">
        <v>19</v>
      </c>
      <c r="G168" s="5350"/>
      <c r="H168" s="5352"/>
      <c r="I168" s="5354"/>
      <c r="J168" s="5356"/>
      <c r="K168" s="5348"/>
      <c r="L168" s="5348"/>
      <c r="M168" s="5348"/>
      <c r="N168" s="5359"/>
      <c r="O168" s="5348"/>
      <c r="P168" s="5348"/>
      <c r="Q168" s="5348"/>
      <c r="R168" s="5346"/>
      <c r="S168" s="5348"/>
      <c r="T168" s="1391"/>
      <c r="U168" s="1391"/>
      <c r="V168" s="1393"/>
      <c r="W168" s="1217"/>
      <c r="X168" s="1188"/>
      <c r="Y168" s="1188"/>
      <c r="Z168" s="1188"/>
      <c r="AA168" s="1188"/>
      <c r="AB168" s="1188"/>
      <c r="AC168" s="1188" t="s">
        <v>363</v>
      </c>
      <c r="AD168" s="1188" t="s">
        <v>364</v>
      </c>
      <c r="AE168" s="1188" t="s">
        <v>365</v>
      </c>
      <c r="AF168" s="1188" t="s">
        <v>366</v>
      </c>
      <c r="AG168" s="1188"/>
      <c r="AH168" s="1188" t="str">
        <f>IF($E$168=0,"",$E$168)</f>
        <v>Тариф на транспортировку сточных вод</v>
      </c>
      <c r="AI168" s="1188" t="str">
        <f>IF($G$168=0,"",$G$168)</f>
        <v/>
      </c>
      <c r="AJ168" s="1188" t="str">
        <f>IF($J$168=0,"",$J$168)</f>
        <v/>
      </c>
      <c r="AK168" s="1188" t="str">
        <f>IF($K$168="нет","без дифференциации",IF($N$168=0,"",$N$168))</f>
        <v/>
      </c>
      <c r="AL168" s="1188" t="str">
        <f>IF($O$168="нет","без дифференциации",IF($R$168=0,"",$R$168))</f>
        <v/>
      </c>
      <c r="AM168" s="1188" t="str">
        <f>IF($S$168="нет","без дифференциации",IF($V$168=0,"",$V$168))</f>
        <v/>
      </c>
      <c r="AN168" s="1692">
        <f>$I$168</f>
        <v>0</v>
      </c>
      <c r="AO168" s="1188" t="str">
        <f>$I$168&amp;"."&amp;$M$168</f>
        <v>.</v>
      </c>
      <c r="AP168" s="1180" t="str">
        <f>$I$168&amp;"."&amp;$M$168&amp;"."&amp;$Q$168</f>
        <v>..</v>
      </c>
      <c r="AQ168" s="1180" t="str">
        <f>$I$168&amp;"."&amp;$M$168&amp;"."&amp;$Q$168&amp;"."&amp;$U$168</f>
        <v>...</v>
      </c>
      <c r="AR168" s="1388">
        <v>0</v>
      </c>
    </row>
    <row r="169" spans="1:44" s="4284" customFormat="1" ht="17.25" customHeight="1">
      <c r="A169" s="259"/>
      <c r="C169" s="258"/>
      <c r="D169" s="5361"/>
      <c r="E169" s="5350"/>
      <c r="F169" s="5364"/>
      <c r="G169" s="5350"/>
      <c r="H169" s="5353"/>
      <c r="I169" s="5355"/>
      <c r="J169" s="5357"/>
      <c r="K169" s="5349"/>
      <c r="L169" s="5349"/>
      <c r="M169" s="5349"/>
      <c r="N169" s="5360"/>
      <c r="O169" s="5349"/>
      <c r="P169" s="5349"/>
      <c r="Q169" s="5349"/>
      <c r="R169" s="5347"/>
      <c r="S169" s="5349"/>
      <c r="T169" s="1218"/>
      <c r="U169" s="1218"/>
      <c r="V169" s="1218"/>
      <c r="W169" s="1219"/>
      <c r="X169" s="1180"/>
      <c r="Y169" s="1180"/>
      <c r="Z169" s="1180"/>
      <c r="AA169" s="1180"/>
      <c r="AB169" s="1180"/>
      <c r="AC169" s="1180"/>
      <c r="AD169" s="1180"/>
      <c r="AE169" s="1180"/>
      <c r="AF169" s="1180"/>
      <c r="AG169" s="1180"/>
      <c r="AH169" s="1180"/>
      <c r="AI169" s="1180"/>
      <c r="AJ169" s="1180"/>
      <c r="AK169" s="1180"/>
      <c r="AL169" s="1180"/>
      <c r="AM169" s="1180"/>
      <c r="AN169" s="1180"/>
      <c r="AO169" s="1180"/>
      <c r="AP169" s="1180"/>
      <c r="AQ169" s="1180"/>
      <c r="AR169" s="1388">
        <v>0</v>
      </c>
    </row>
    <row r="170" spans="1:44" s="4284" customFormat="1" ht="17.25" customHeight="1">
      <c r="A170" s="259"/>
      <c r="C170" s="258"/>
      <c r="D170" s="5362"/>
      <c r="E170" s="5351"/>
      <c r="F170" s="5364"/>
      <c r="G170" s="5351"/>
      <c r="H170" s="5353"/>
      <c r="I170" s="5355"/>
      <c r="J170" s="5358"/>
      <c r="K170" s="5349"/>
      <c r="L170" s="5349"/>
      <c r="M170" s="5349"/>
      <c r="N170" s="5347"/>
      <c r="O170" s="5349"/>
      <c r="P170" s="1392"/>
      <c r="Q170" s="1218"/>
      <c r="R170" s="1218"/>
      <c r="S170" s="267"/>
      <c r="T170" s="267"/>
      <c r="U170" s="267"/>
      <c r="V170" s="267"/>
      <c r="W170" s="1219"/>
      <c r="X170" s="1180"/>
      <c r="Y170" s="1180"/>
      <c r="Z170" s="1180"/>
      <c r="AA170" s="1180"/>
      <c r="AB170" s="1180"/>
      <c r="AC170" s="1180"/>
      <c r="AD170" s="1180"/>
      <c r="AE170" s="1180"/>
      <c r="AF170" s="1180"/>
      <c r="AG170" s="1180"/>
      <c r="AH170" s="1180"/>
      <c r="AI170" s="1180"/>
      <c r="AJ170" s="1180"/>
      <c r="AK170" s="1180"/>
      <c r="AL170" s="1180"/>
      <c r="AM170" s="1180"/>
      <c r="AN170" s="1180"/>
      <c r="AO170" s="1180"/>
      <c r="AP170" s="1180"/>
      <c r="AQ170" s="1180"/>
      <c r="AR170" s="1388">
        <v>0</v>
      </c>
    </row>
    <row r="171" spans="1:44" s="4284" customFormat="1" ht="17.25" customHeight="1">
      <c r="A171" s="259"/>
      <c r="C171" s="258"/>
      <c r="D171" s="5362"/>
      <c r="E171" s="5351"/>
      <c r="F171" s="5364"/>
      <c r="G171" s="5351"/>
      <c r="H171" s="5353"/>
      <c r="I171" s="5355"/>
      <c r="J171" s="5358"/>
      <c r="K171" s="5349"/>
      <c r="L171" s="1218"/>
      <c r="M171" s="1218"/>
      <c r="N171" s="1218"/>
      <c r="O171" s="1218"/>
      <c r="P171" s="1218"/>
      <c r="Q171" s="1218"/>
      <c r="R171" s="1218"/>
      <c r="S171" s="267"/>
      <c r="T171" s="267"/>
      <c r="U171" s="267"/>
      <c r="V171" s="267"/>
      <c r="W171" s="1219"/>
      <c r="X171" s="1180"/>
      <c r="Y171" s="1180"/>
      <c r="Z171" s="1180"/>
      <c r="AA171" s="1180"/>
      <c r="AB171" s="1180"/>
      <c r="AC171" s="1180"/>
      <c r="AD171" s="1180"/>
      <c r="AE171" s="1180"/>
      <c r="AF171" s="1180"/>
      <c r="AG171" s="1180"/>
      <c r="AH171" s="1180"/>
      <c r="AI171" s="1180"/>
      <c r="AJ171" s="1180"/>
      <c r="AK171" s="1180"/>
      <c r="AL171" s="1180"/>
      <c r="AM171" s="1180"/>
      <c r="AN171" s="1180"/>
      <c r="AO171" s="1180"/>
      <c r="AP171" s="1180"/>
      <c r="AQ171" s="1180"/>
      <c r="AR171" s="1388">
        <v>0</v>
      </c>
    </row>
    <row r="172" spans="1:44" s="4284" customFormat="1" ht="17.25" customHeight="1">
      <c r="A172" s="259"/>
      <c r="C172" s="258"/>
      <c r="D172" s="5362"/>
      <c r="E172" s="5351"/>
      <c r="F172" s="5365"/>
      <c r="G172" s="5351"/>
      <c r="H172" s="1220"/>
      <c r="I172" s="1221"/>
      <c r="J172" s="1221"/>
      <c r="K172" s="1221"/>
      <c r="L172" s="1221"/>
      <c r="M172" s="1221"/>
      <c r="N172" s="1221"/>
      <c r="O172" s="1221"/>
      <c r="P172" s="1221"/>
      <c r="Q172" s="1221"/>
      <c r="R172" s="1221"/>
      <c r="S172" s="1222"/>
      <c r="T172" s="1222"/>
      <c r="U172" s="1222"/>
      <c r="V172" s="1222"/>
      <c r="W172" s="1223"/>
      <c r="X172" s="1180"/>
      <c r="Y172" s="1180"/>
      <c r="Z172" s="1180"/>
      <c r="AA172" s="1180"/>
      <c r="AB172" s="1180"/>
      <c r="AC172" s="1180"/>
      <c r="AD172" s="1180"/>
      <c r="AE172" s="1180"/>
      <c r="AF172" s="1180"/>
      <c r="AG172" s="1180"/>
      <c r="AH172" s="1180"/>
      <c r="AI172" s="1180"/>
      <c r="AJ172" s="1180"/>
      <c r="AK172" s="1180"/>
      <c r="AL172" s="1180"/>
      <c r="AM172" s="1180"/>
      <c r="AN172" s="1180"/>
      <c r="AO172" s="1180"/>
      <c r="AP172" s="1180"/>
      <c r="AQ172" s="1180"/>
      <c r="AR172" s="1388">
        <v>0</v>
      </c>
    </row>
    <row r="173" spans="1:44" s="4284" customFormat="1" ht="17.25" customHeight="1">
      <c r="A173" s="259"/>
      <c r="C173" s="147"/>
      <c r="D173" s="5361">
        <v>3</v>
      </c>
      <c r="E173" s="5350" t="s">
        <v>367</v>
      </c>
      <c r="F173" s="5363" t="s">
        <v>19</v>
      </c>
      <c r="G173" s="5350"/>
      <c r="H173" s="5352"/>
      <c r="I173" s="5354"/>
      <c r="J173" s="5356"/>
      <c r="K173" s="5348"/>
      <c r="L173" s="5348"/>
      <c r="M173" s="5348"/>
      <c r="N173" s="5359"/>
      <c r="O173" s="5348"/>
      <c r="P173" s="5348"/>
      <c r="Q173" s="5348"/>
      <c r="R173" s="5346"/>
      <c r="S173" s="5348"/>
      <c r="T173" s="1858"/>
      <c r="U173" s="1858"/>
      <c r="V173" s="1860"/>
      <c r="W173" s="1217"/>
      <c r="X173" s="1188"/>
      <c r="Y173" s="1188"/>
      <c r="Z173" s="1188"/>
      <c r="AA173" s="1188"/>
      <c r="AB173" s="1188"/>
      <c r="AC173" s="1188" t="s">
        <v>368</v>
      </c>
      <c r="AD173" s="1188" t="s">
        <v>369</v>
      </c>
      <c r="AE173" s="1188" t="s">
        <v>370</v>
      </c>
      <c r="AF173" s="1188" t="s">
        <v>371</v>
      </c>
      <c r="AG173" s="1188"/>
      <c r="AH173" s="1188" t="str">
        <f>IF($E$173=0,"",$E$173)</f>
        <v>Тариф на подключение (технологическое присоединение) к централизованной системе водоотведения</v>
      </c>
      <c r="AI173" s="1188" t="str">
        <f>IF($G$173=0,"",$G$173)</f>
        <v/>
      </c>
      <c r="AJ173" s="1188" t="str">
        <f>IF($J$173=0,"",$J$173)</f>
        <v/>
      </c>
      <c r="AK173" s="1188" t="str">
        <f>IF($K$173="нет","без дифференциации",IF($N$173=0,"",$N$173))</f>
        <v/>
      </c>
      <c r="AL173" s="1188" t="str">
        <f>IF($O$173="нет","без дифференциации",IF($R$173=0,"",$R$173))</f>
        <v/>
      </c>
      <c r="AM173" s="1188" t="str">
        <f>IF($S$173="нет","без дифференциации",IF($V$173=0,"",$V$173))</f>
        <v/>
      </c>
      <c r="AN173" s="1692">
        <f>$I$173</f>
        <v>0</v>
      </c>
      <c r="AO173" s="1188" t="str">
        <f>$I$173&amp;"."&amp;$M$173</f>
        <v>.</v>
      </c>
      <c r="AP173" s="1187" t="str">
        <f>$I$173&amp;"."&amp;$M$173&amp;"."&amp;$Q$173</f>
        <v>..</v>
      </c>
      <c r="AQ173" s="1187" t="str">
        <f>$I$173&amp;"."&amp;$M$173&amp;"."&amp;$Q$173&amp;"."&amp;$U$173</f>
        <v>...</v>
      </c>
      <c r="AR173" s="1388">
        <v>0</v>
      </c>
    </row>
    <row r="174" spans="1:44" s="4284" customFormat="1" ht="17.25" customHeight="1">
      <c r="A174" s="259"/>
      <c r="C174" s="258"/>
      <c r="D174" s="5361"/>
      <c r="E174" s="5350"/>
      <c r="F174" s="5364"/>
      <c r="G174" s="5350"/>
      <c r="H174" s="5353"/>
      <c r="I174" s="5355"/>
      <c r="J174" s="5357"/>
      <c r="K174" s="5349"/>
      <c r="L174" s="5349"/>
      <c r="M174" s="5349"/>
      <c r="N174" s="5360"/>
      <c r="O174" s="5349"/>
      <c r="P174" s="5349"/>
      <c r="Q174" s="5349"/>
      <c r="R174" s="5347"/>
      <c r="S174" s="5349"/>
      <c r="T174" s="1863"/>
      <c r="U174" s="1863"/>
      <c r="V174" s="1863"/>
      <c r="W174" s="1864"/>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388">
        <v>0</v>
      </c>
    </row>
    <row r="175" spans="1:44" s="4284" customFormat="1" ht="17.25" customHeight="1">
      <c r="A175" s="259"/>
      <c r="C175" s="258"/>
      <c r="D175" s="5362"/>
      <c r="E175" s="5351"/>
      <c r="F175" s="5364"/>
      <c r="G175" s="5351"/>
      <c r="H175" s="5353"/>
      <c r="I175" s="5355"/>
      <c r="J175" s="5358"/>
      <c r="K175" s="5349"/>
      <c r="L175" s="5349"/>
      <c r="M175" s="5349"/>
      <c r="N175" s="5347"/>
      <c r="O175" s="5349"/>
      <c r="P175" s="1859"/>
      <c r="Q175" s="1863"/>
      <c r="R175" s="1863"/>
      <c r="S175" s="267"/>
      <c r="T175" s="267"/>
      <c r="U175" s="267"/>
      <c r="V175" s="267"/>
      <c r="W175" s="1864"/>
      <c r="X175" s="1187"/>
      <c r="Y175" s="1187"/>
      <c r="Z175" s="1187"/>
      <c r="AA175" s="1187"/>
      <c r="AB175" s="1187"/>
      <c r="AC175" s="1187"/>
      <c r="AD175" s="1187"/>
      <c r="AE175" s="1187"/>
      <c r="AF175" s="1187"/>
      <c r="AG175" s="1187"/>
      <c r="AH175" s="1187"/>
      <c r="AI175" s="1187"/>
      <c r="AJ175" s="1187"/>
      <c r="AK175" s="1187"/>
      <c r="AL175" s="1187"/>
      <c r="AM175" s="1187"/>
      <c r="AN175" s="1187"/>
      <c r="AO175" s="1187"/>
      <c r="AP175" s="1187"/>
      <c r="AQ175" s="1187"/>
      <c r="AR175" s="1388">
        <v>0</v>
      </c>
    </row>
    <row r="176" spans="1:44" s="4284" customFormat="1" ht="17.25" customHeight="1">
      <c r="A176" s="259"/>
      <c r="C176" s="258"/>
      <c r="D176" s="5362"/>
      <c r="E176" s="5351"/>
      <c r="F176" s="5364"/>
      <c r="G176" s="5351"/>
      <c r="H176" s="5353"/>
      <c r="I176" s="5355"/>
      <c r="J176" s="5358"/>
      <c r="K176" s="5349"/>
      <c r="L176" s="1863"/>
      <c r="M176" s="1863"/>
      <c r="N176" s="1863"/>
      <c r="O176" s="1863"/>
      <c r="P176" s="1863"/>
      <c r="Q176" s="1863"/>
      <c r="R176" s="1863"/>
      <c r="S176" s="267"/>
      <c r="T176" s="267"/>
      <c r="U176" s="267"/>
      <c r="V176" s="267"/>
      <c r="W176" s="1864"/>
      <c r="X176" s="1187"/>
      <c r="Y176" s="1187"/>
      <c r="Z176" s="1187"/>
      <c r="AA176" s="1187"/>
      <c r="AB176" s="1187"/>
      <c r="AC176" s="1187"/>
      <c r="AD176" s="1187"/>
      <c r="AE176" s="1187"/>
      <c r="AF176" s="1187"/>
      <c r="AG176" s="1187"/>
      <c r="AH176" s="1187"/>
      <c r="AI176" s="1187"/>
      <c r="AJ176" s="1187"/>
      <c r="AK176" s="1187"/>
      <c r="AL176" s="1187"/>
      <c r="AM176" s="1187"/>
      <c r="AN176" s="1187"/>
      <c r="AO176" s="1187"/>
      <c r="AP176" s="1187"/>
      <c r="AQ176" s="1187"/>
      <c r="AR176" s="1388">
        <v>0</v>
      </c>
    </row>
    <row r="177" spans="1:44" s="4284" customFormat="1" ht="17.25" customHeight="1">
      <c r="A177" s="259"/>
      <c r="C177" s="258"/>
      <c r="D177" s="5362"/>
      <c r="E177" s="5351"/>
      <c r="F177" s="5365"/>
      <c r="G177" s="5351"/>
      <c r="H177" s="1220"/>
      <c r="I177" s="1861"/>
      <c r="J177" s="1861"/>
      <c r="K177" s="1861"/>
      <c r="L177" s="1861"/>
      <c r="M177" s="1861"/>
      <c r="N177" s="1861"/>
      <c r="O177" s="1861"/>
      <c r="P177" s="1861"/>
      <c r="Q177" s="1861"/>
      <c r="R177" s="1861"/>
      <c r="S177" s="1222"/>
      <c r="T177" s="1222"/>
      <c r="U177" s="1222"/>
      <c r="V177" s="1222"/>
      <c r="W177" s="1862"/>
      <c r="X177" s="1187"/>
      <c r="Y177" s="1187"/>
      <c r="Z177" s="1187"/>
      <c r="AA177" s="1187"/>
      <c r="AB177" s="1187"/>
      <c r="AC177" s="1187"/>
      <c r="AD177" s="1187"/>
      <c r="AE177" s="1187"/>
      <c r="AF177" s="1187"/>
      <c r="AG177" s="1187"/>
      <c r="AH177" s="1187"/>
      <c r="AI177" s="1187"/>
      <c r="AJ177" s="1187"/>
      <c r="AK177" s="1187"/>
      <c r="AL177" s="1187"/>
      <c r="AM177" s="1187"/>
      <c r="AN177" s="1187"/>
      <c r="AO177" s="1187"/>
      <c r="AP177" s="1187"/>
      <c r="AQ177" s="1187"/>
      <c r="AR177" s="1388">
        <v>0</v>
      </c>
    </row>
    <row r="178" spans="1:44" ht="11.45" customHeight="1">
      <c r="AR178" s="45">
        <v>11</v>
      </c>
    </row>
    <row r="179" spans="1:44" ht="11.45" customHeight="1">
      <c r="AR179" s="45">
        <v>11</v>
      </c>
    </row>
    <row r="180" spans="1:44" ht="11.45" customHeight="1">
      <c r="AR180" s="45">
        <v>11</v>
      </c>
    </row>
    <row r="181" spans="1:44" ht="11.45" customHeight="1">
      <c r="E181" s="1271"/>
      <c r="AR181" s="45">
        <v>11</v>
      </c>
    </row>
    <row r="182" spans="1:44" ht="11.45" customHeight="1">
      <c r="E182" s="1271"/>
      <c r="AR182" s="45">
        <v>11</v>
      </c>
    </row>
    <row r="183" spans="1:44" ht="11.45" customHeight="1">
      <c r="E183" s="1271"/>
      <c r="AR183" s="45">
        <v>11</v>
      </c>
    </row>
    <row r="184" spans="1:44" ht="11.45" customHeight="1">
      <c r="E184" s="1271"/>
      <c r="AR184" s="45">
        <v>11</v>
      </c>
    </row>
    <row r="185" spans="1:44" ht="11.45" customHeight="1">
      <c r="E185" s="1271"/>
      <c r="AR185" s="45">
        <v>11</v>
      </c>
    </row>
    <row r="186" spans="1:44" ht="11.45" customHeight="1">
      <c r="E186" s="1271"/>
      <c r="AR186" s="45">
        <v>11</v>
      </c>
    </row>
    <row r="187" spans="1:44" ht="11.45" customHeight="1">
      <c r="E187" s="1271"/>
      <c r="AR187" s="45">
        <v>11</v>
      </c>
    </row>
    <row r="188" spans="1:44" ht="11.25" hidden="1" customHeight="1">
      <c r="A188" s="92" t="s">
        <v>82</v>
      </c>
      <c r="B188" s="92">
        <v>0</v>
      </c>
      <c r="C188" s="45">
        <v>3</v>
      </c>
      <c r="D188" s="45">
        <v>6</v>
      </c>
      <c r="E188" s="45">
        <v>42</v>
      </c>
      <c r="F188" s="1204">
        <v>14</v>
      </c>
      <c r="G188" s="45">
        <v>42</v>
      </c>
      <c r="H188" s="45">
        <v>3</v>
      </c>
      <c r="I188" s="45">
        <v>5</v>
      </c>
      <c r="J188" s="45">
        <v>47</v>
      </c>
      <c r="K188" s="45">
        <v>3</v>
      </c>
      <c r="L188" s="45">
        <v>3</v>
      </c>
      <c r="M188" s="45">
        <v>5</v>
      </c>
      <c r="N188" s="45">
        <v>28</v>
      </c>
      <c r="O188" s="45">
        <v>3</v>
      </c>
      <c r="P188" s="45">
        <v>3</v>
      </c>
      <c r="Q188" s="45">
        <v>5</v>
      </c>
      <c r="R188" s="45">
        <v>34</v>
      </c>
      <c r="S188" s="220">
        <v>0</v>
      </c>
      <c r="T188" s="220">
        <v>0</v>
      </c>
      <c r="U188" s="220">
        <v>0</v>
      </c>
      <c r="V188" s="220">
        <v>0</v>
      </c>
      <c r="W188" s="45">
        <v>30</v>
      </c>
      <c r="X188" s="45">
        <v>3</v>
      </c>
      <c r="Y188" s="1180">
        <v>0</v>
      </c>
      <c r="Z188" s="1180">
        <v>0</v>
      </c>
      <c r="AA188" s="1180">
        <v>0</v>
      </c>
      <c r="AB188" s="1180">
        <v>0</v>
      </c>
      <c r="AC188" s="1180">
        <v>0</v>
      </c>
      <c r="AD188" s="1180">
        <v>0</v>
      </c>
      <c r="AE188" s="1180">
        <v>0</v>
      </c>
      <c r="AF188" s="1180">
        <v>0</v>
      </c>
      <c r="AG188" s="1180">
        <v>0</v>
      </c>
      <c r="AH188" s="1180">
        <v>0</v>
      </c>
      <c r="AI188" s="1180">
        <v>0</v>
      </c>
      <c r="AJ188" s="1180">
        <v>0</v>
      </c>
      <c r="AK188" s="1180">
        <v>0</v>
      </c>
      <c r="AL188" s="1180">
        <v>0</v>
      </c>
      <c r="AM188" s="1180">
        <v>0</v>
      </c>
      <c r="AN188" s="1180">
        <v>0</v>
      </c>
      <c r="AO188" s="1180">
        <v>0</v>
      </c>
      <c r="AP188" s="1180">
        <v>0</v>
      </c>
      <c r="AQ188" s="1180">
        <v>0</v>
      </c>
      <c r="AR188" s="45">
        <v>11</v>
      </c>
    </row>
  </sheetData>
  <sheetProtection formatColumns="0" formatRows="0" insertRows="0" deleteColumns="0" deleteRows="0" sort="0" autoFilter="0"/>
  <mergeCells count="497">
    <mergeCell ref="L163:L165"/>
    <mergeCell ref="M163:M165"/>
    <mergeCell ref="N163:N165"/>
    <mergeCell ref="O163:O165"/>
    <mergeCell ref="P163:P164"/>
    <mergeCell ref="Q163:Q164"/>
    <mergeCell ref="R163:R164"/>
    <mergeCell ref="S163:S164"/>
    <mergeCell ref="W163:W164"/>
    <mergeCell ref="L154:L162"/>
    <mergeCell ref="M154:M162"/>
    <mergeCell ref="N154:N162"/>
    <mergeCell ref="O154:O162"/>
    <mergeCell ref="P154:P155"/>
    <mergeCell ref="Q154:Q155"/>
    <mergeCell ref="R154:R155"/>
    <mergeCell ref="S154:S155"/>
    <mergeCell ref="W154:W155"/>
    <mergeCell ref="P156:P157"/>
    <mergeCell ref="Q156:Q157"/>
    <mergeCell ref="R156:R157"/>
    <mergeCell ref="S156:S157"/>
    <mergeCell ref="W156:W157"/>
    <mergeCell ref="P158:P159"/>
    <mergeCell ref="Q158:Q159"/>
    <mergeCell ref="R158:R159"/>
    <mergeCell ref="S158:S159"/>
    <mergeCell ref="W158:W159"/>
    <mergeCell ref="P160:P161"/>
    <mergeCell ref="Q160:Q161"/>
    <mergeCell ref="R160:R161"/>
    <mergeCell ref="S160:S161"/>
    <mergeCell ref="W160:W161"/>
    <mergeCell ref="L151:L153"/>
    <mergeCell ref="M151:M153"/>
    <mergeCell ref="N151:N153"/>
    <mergeCell ref="O151:O153"/>
    <mergeCell ref="P151:P152"/>
    <mergeCell ref="Q151:Q152"/>
    <mergeCell ref="R151:R152"/>
    <mergeCell ref="S151:S152"/>
    <mergeCell ref="W151:W152"/>
    <mergeCell ref="R143:R144"/>
    <mergeCell ref="S143:S144"/>
    <mergeCell ref="W143:W144"/>
    <mergeCell ref="L146:L150"/>
    <mergeCell ref="M146:M150"/>
    <mergeCell ref="N146:N150"/>
    <mergeCell ref="O146:O150"/>
    <mergeCell ref="P146:P147"/>
    <mergeCell ref="Q146:Q147"/>
    <mergeCell ref="R146:R147"/>
    <mergeCell ref="S146:S147"/>
    <mergeCell ref="W146:W147"/>
    <mergeCell ref="P148:P149"/>
    <mergeCell ref="Q148:Q149"/>
    <mergeCell ref="R148:R149"/>
    <mergeCell ref="S148:S149"/>
    <mergeCell ref="W148:W149"/>
    <mergeCell ref="S137:S138"/>
    <mergeCell ref="W137:W138"/>
    <mergeCell ref="L140:L142"/>
    <mergeCell ref="M140:M142"/>
    <mergeCell ref="N140:N142"/>
    <mergeCell ref="O140:O142"/>
    <mergeCell ref="P140:P141"/>
    <mergeCell ref="Q140:Q141"/>
    <mergeCell ref="R140:R141"/>
    <mergeCell ref="S140:S141"/>
    <mergeCell ref="W140:W141"/>
    <mergeCell ref="S127:S128"/>
    <mergeCell ref="W127:W128"/>
    <mergeCell ref="P129:P130"/>
    <mergeCell ref="Q129:Q130"/>
    <mergeCell ref="R129:R130"/>
    <mergeCell ref="S129:S130"/>
    <mergeCell ref="W129:W130"/>
    <mergeCell ref="L132:L136"/>
    <mergeCell ref="M132:M136"/>
    <mergeCell ref="N132:N136"/>
    <mergeCell ref="O132:O136"/>
    <mergeCell ref="P132:P133"/>
    <mergeCell ref="Q132:Q133"/>
    <mergeCell ref="R132:R133"/>
    <mergeCell ref="S132:S133"/>
    <mergeCell ref="W132:W133"/>
    <mergeCell ref="P134:P135"/>
    <mergeCell ref="Q134:Q135"/>
    <mergeCell ref="R134:R135"/>
    <mergeCell ref="S134:S135"/>
    <mergeCell ref="W134:W135"/>
    <mergeCell ref="S121:S122"/>
    <mergeCell ref="H121:H166"/>
    <mergeCell ref="I121:I166"/>
    <mergeCell ref="J121:J166"/>
    <mergeCell ref="K121:K166"/>
    <mergeCell ref="L121:L131"/>
    <mergeCell ref="W121:W122"/>
    <mergeCell ref="O121:O131"/>
    <mergeCell ref="P121:P122"/>
    <mergeCell ref="Q121:Q122"/>
    <mergeCell ref="R121:R122"/>
    <mergeCell ref="P123:P124"/>
    <mergeCell ref="Q123:Q124"/>
    <mergeCell ref="R123:R124"/>
    <mergeCell ref="S123:S124"/>
    <mergeCell ref="W123:W124"/>
    <mergeCell ref="P125:P126"/>
    <mergeCell ref="Q125:Q126"/>
    <mergeCell ref="R125:R126"/>
    <mergeCell ref="S125:S126"/>
    <mergeCell ref="W125:W126"/>
    <mergeCell ref="P127:P128"/>
    <mergeCell ref="Q127:Q128"/>
    <mergeCell ref="R127:R128"/>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67"/>
    <mergeCell ref="F121:F167"/>
    <mergeCell ref="G121:G167"/>
    <mergeCell ref="M110:M112"/>
    <mergeCell ref="N110:N112"/>
    <mergeCell ref="O110:O112"/>
    <mergeCell ref="P110:P111"/>
    <mergeCell ref="Q110:Q111"/>
    <mergeCell ref="R110:R111"/>
    <mergeCell ref="M121:M131"/>
    <mergeCell ref="N121:N131"/>
    <mergeCell ref="L137:L139"/>
    <mergeCell ref="M137:M139"/>
    <mergeCell ref="N137:N139"/>
    <mergeCell ref="O137:O139"/>
    <mergeCell ref="P137:P138"/>
    <mergeCell ref="Q137:Q138"/>
    <mergeCell ref="R137:R138"/>
    <mergeCell ref="L143:L145"/>
    <mergeCell ref="M143:M145"/>
    <mergeCell ref="N143:N145"/>
    <mergeCell ref="O143:O145"/>
    <mergeCell ref="P143:P144"/>
    <mergeCell ref="Q143:Q144"/>
    <mergeCell ref="F99:F103"/>
    <mergeCell ref="G99:G103"/>
    <mergeCell ref="H99:H102"/>
    <mergeCell ref="I99:I102"/>
    <mergeCell ref="J99:J102"/>
    <mergeCell ref="K99:K102"/>
    <mergeCell ref="L99:L101"/>
    <mergeCell ref="S168:S169"/>
    <mergeCell ref="D168:D172"/>
    <mergeCell ref="E168:E172"/>
    <mergeCell ref="F168:F172"/>
    <mergeCell ref="G168:G172"/>
    <mergeCell ref="H168:H171"/>
    <mergeCell ref="I168:I171"/>
    <mergeCell ref="J168:J171"/>
    <mergeCell ref="K168:K171"/>
    <mergeCell ref="L168:L170"/>
    <mergeCell ref="M168:M170"/>
    <mergeCell ref="N168:N170"/>
    <mergeCell ref="O168:O170"/>
    <mergeCell ref="P168:P169"/>
    <mergeCell ref="Q168:Q169"/>
    <mergeCell ref="R168:R169"/>
    <mergeCell ref="D121:D167"/>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73:M175"/>
    <mergeCell ref="N173:N175"/>
    <mergeCell ref="O173:O175"/>
    <mergeCell ref="P173:P174"/>
    <mergeCell ref="Q173:Q174"/>
    <mergeCell ref="R173:R174"/>
    <mergeCell ref="S173:S174"/>
    <mergeCell ref="D173:D177"/>
    <mergeCell ref="E173:E177"/>
    <mergeCell ref="F173:F177"/>
    <mergeCell ref="G173:G177"/>
    <mergeCell ref="H173:H176"/>
    <mergeCell ref="I173:I176"/>
    <mergeCell ref="J173:J176"/>
    <mergeCell ref="K173:K176"/>
    <mergeCell ref="L173:L175"/>
    <mergeCell ref="R23:R24"/>
    <mergeCell ref="S23:S24"/>
    <mergeCell ref="G23:G27"/>
    <mergeCell ref="H23:H26"/>
    <mergeCell ref="I23:I26"/>
    <mergeCell ref="J23:J26"/>
    <mergeCell ref="K23:K26"/>
    <mergeCell ref="L23:L25"/>
    <mergeCell ref="M23:M25"/>
    <mergeCell ref="N23:N25"/>
    <mergeCell ref="O23:O25"/>
  </mergeCells>
  <dataValidations count="297">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type="textLength" operator="lessThanOrEqual" allowBlank="1" showInputMessage="1" showErrorMessage="1" errorTitle="Ошибка" error="Допускается ввод не более 900 символов!" sqref="W134">
      <formula1>900</formula1>
    </dataValidation>
    <dataValidation type="textLength" operator="lessThanOrEqual" allowBlank="1" showInputMessage="1" showErrorMessage="1" errorTitle="Ошибка" error="Допускается ввод не более 900 символов!" sqref="V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O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Для выбора выполните двойной щелчок левой клавиши мыши по соответствующей ячейке." sqref="S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Для выбора выполните двойной щелчок левой клавиши мыши по соответствующей ячейке." sqref="F161"/>
    <dataValidation type="textLength" operator="lessThanOrEqual" allowBlank="1" showInputMessage="1" showErrorMessage="1" errorTitle="Ошибка" error="Допускается ввод не более 900 символов!" sqref="W160">
      <formula1>900</formula1>
    </dataValidation>
    <dataValidation type="textLength" operator="lessThanOrEqual" allowBlank="1" showInputMessage="1" showErrorMessage="1" errorTitle="Ошибка" error="Допускается ввод не более 900 символов!" sqref="V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O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Выберите виды деятельности, выполнив двойной щелчок левой кнопки мыши по ячейке." sqref="G160"/>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Для выбора выполните двойной щелчок левой клавиши мыши по соответствующей ячейке." sqref="S159"/>
    <dataValidation type="textLength" operator="lessThanOrEqual" allowBlank="1" showInputMessage="1" showErrorMessage="1" errorTitle="Ошибка" error="Допускается ввод не более 900 символов!" sqref="R1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type="textLength" operator="lessThanOrEqual" allowBlank="1" showInputMessage="1" showErrorMessage="1" errorTitle="Ошибка" error="Допускается ввод не более 900 символов!" sqref="J159">
      <formula1>900</formula1>
    </dataValidation>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Для выбора выполните двойной щелчок левой клавиши мыши по соответствующей ячейке." sqref="F159"/>
    <dataValidation type="textLength" operator="lessThanOrEqual" allowBlank="1" showInputMessage="1" showErrorMessage="1" errorTitle="Ошибка" error="Допускается ввод не более 900 символов!" sqref="W158">
      <formula1>900</formula1>
    </dataValidation>
    <dataValidation type="textLength" operator="lessThanOrEqual" allowBlank="1" showInputMessage="1" showErrorMessage="1" errorTitle="Ошибка" error="Допускается ввод не более 900 символов!" sqref="V158">
      <formula1>900</formula1>
    </dataValidation>
    <dataValidation allowBlank="1" showInputMessage="1" showErrorMessage="1" prompt="Для выбора выполните двойной щелчок левой клавиши мыши по соответствующей ячейке." sqref="S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Для выбора выполните двойной щелчок левой клавиши мыши по соответствующей ячейке." sqref="O1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Для выбора выполните двойной щелчок левой клавиши мыши по соответствующей ячейке." sqref="S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Для выбора выполните двойной щелчок левой клавиши мыши по соответствующей ячейке." sqref="F157"/>
    <dataValidation type="textLength" operator="lessThanOrEqual" allowBlank="1" showInputMessage="1" showErrorMessage="1" errorTitle="Ошибка" error="Допускается ввод не более 900 символов!" sqref="W156">
      <formula1>900</formula1>
    </dataValidation>
    <dataValidation type="textLength" operator="lessThanOrEqual" allowBlank="1" showInputMessage="1" showErrorMessage="1" errorTitle="Ошибка" error="Допускается ввод не более 900 символов!" sqref="V156">
      <formula1>900</formula1>
    </dataValidation>
    <dataValidation allowBlank="1" showInputMessage="1" showErrorMessage="1" prompt="Для выбора выполните двойной щелчок левой клавиши мыши по соответствующей ячейке." sqref="S156"/>
    <dataValidation type="textLength" operator="lessThanOrEqual" allowBlank="1" showInputMessage="1" showErrorMessage="1" errorTitle="Ошибка" error="Допускается ввод не более 900 символов!" sqref="R156">
      <formula1>900</formula1>
    </dataValidation>
    <dataValidation allowBlank="1" showInputMessage="1" showErrorMessage="1" prompt="Для выбора выполните двойной щелчок левой клавиши мыши по соответствующей ячейке." sqref="O1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type="textLength" operator="lessThanOrEqual" allowBlank="1" showInputMessage="1" showErrorMessage="1" errorTitle="Ошибка" error="Допускается ввод не более 900 символов!" sqref="J156">
      <formula1>900</formula1>
    </dataValidation>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allowBlank="1" showInputMessage="1" showErrorMessage="1" prompt="Выберите виды деятельности, выполнив двойной щелчок левой кнопки мыши по ячейке." sqref="G165"/>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Для выбора выполните двойной щелчок левой клавиши мыши по соответствующей ячейке." sqref="S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Для выбора выполните двойной щелчок левой клавиши мыши по соответствующей ячейке." sqref="F164"/>
    <dataValidation type="textLength" operator="lessThanOrEqual" allowBlank="1" showInputMessage="1" showErrorMessage="1" errorTitle="Ошибка" error="Допускается ввод не более 900 символов!" sqref="W163">
      <formula1>900</formula1>
    </dataValidation>
    <dataValidation type="textLength" operator="lessThanOrEqual" allowBlank="1" showInputMessage="1" showErrorMessage="1" errorTitle="Ошибка" error="Допускается ввод не более 900 символов!" sqref="V163">
      <formula1>900</formula1>
    </dataValidation>
    <dataValidation allowBlank="1" showInputMessage="1" showErrorMessage="1" prompt="Для выбора выполните двойной щелчок левой клавиши мыши по соответствующей ячейке." sqref="S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Для выбора выполните двойной щелчок левой клавиши мыши по соответствующей ячейке." sqref="O1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Для выбора выполните двойной щелчок левой клавиши мыши по соответствующей ячейке." sqref="S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Для выбора выполните двойной щелчок левой клавиши мыши по соответствующей ячейке." sqref="F155"/>
    <dataValidation type="textLength" operator="lessThanOrEqual" allowBlank="1" showInputMessage="1" showErrorMessage="1" errorTitle="Ошибка" error="Допускается ввод не более 900 символов!" sqref="W154">
      <formula1>900</formula1>
    </dataValidation>
    <dataValidation type="textLength" operator="lessThanOrEqual" allowBlank="1" showInputMessage="1" showErrorMessage="1" errorTitle="Ошибка" error="Допускается ввод не более 900 символов!" sqref="V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O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Для выбора выполните двойной щелчок левой клавиши мыши по соответствующей ячейке." sqref="S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Для выбора выполните двойной щелчок левой клавиши мыши по соответствующей ячейке." sqref="F152"/>
    <dataValidation type="textLength" operator="lessThanOrEqual" allowBlank="1" showInputMessage="1" showErrorMessage="1" errorTitle="Ошибка" error="Допускается ввод не более 900 символов!" sqref="W151">
      <formula1>900</formula1>
    </dataValidation>
    <dataValidation type="textLength" operator="lessThanOrEqual" allowBlank="1" showInputMessage="1" showErrorMessage="1" errorTitle="Ошибка" error="Допускается ввод не более 900 символов!" sqref="V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O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Для выбора выполните двойной щелчок левой клавиши мыши по соответствующей ячейке." sqref="S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Для выбора выполните двойной щелчок левой клавиши мыши по соответствующей ячейке." sqref="F149"/>
    <dataValidation type="textLength" operator="lessThanOrEqual" allowBlank="1" showInputMessage="1" showErrorMessage="1" errorTitle="Ошибка" error="Допускается ввод не более 900 символов!" sqref="W148">
      <formula1>900</formula1>
    </dataValidation>
    <dataValidation type="textLength" operator="lessThanOrEqual" allowBlank="1" showInputMessage="1" showErrorMessage="1" errorTitle="Ошибка" error="Допускается ввод не более 900 символов!" sqref="V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O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Выберите виды деятельности, выполнив двойной щелчок левой кнопки мыши по ячейке." sqref="G147"/>
    <dataValidation allowBlank="1" showInputMessage="1" showErrorMessage="1" prompt="Для выбора выполните двойной щелчок левой клавиши мыши по соответствующей ячейке." sqref="F147"/>
    <dataValidation type="textLength" operator="lessThanOrEqual" allowBlank="1" showInputMessage="1" showErrorMessage="1" errorTitle="Ошибка" error="Допускается ввод не более 900 символов!" sqref="W146">
      <formula1>900</formula1>
    </dataValidation>
    <dataValidation type="textLength" operator="lessThanOrEqual" allowBlank="1" showInputMessage="1" showErrorMessage="1" errorTitle="Ошибка" error="Допускается ввод не более 900 символов!" sqref="V146">
      <formula1>900</formula1>
    </dataValidation>
    <dataValidation allowBlank="1" showInputMessage="1" showErrorMessage="1" prompt="Для выбора выполните двойной щелчок левой клавиши мыши по соответствующей ячейке." sqref="S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Для выбора выполните двойной щелчок левой клавиши мыши по соответствующей ячейке." sqref="O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Выберите виды деятельности, выполнив двойной щелчок левой кнопки мыши по ячейке." sqref="G144"/>
    <dataValidation allowBlank="1" showInputMessage="1" showErrorMessage="1" prompt="Для выбора выполните двойной щелчок левой клавиши мыши по соответствующей ячейке." sqref="F144"/>
    <dataValidation type="textLength" operator="lessThanOrEqual" allowBlank="1" showInputMessage="1" showErrorMessage="1" errorTitle="Ошибка" error="Допускается ввод не более 900 символов!" sqref="W143">
      <formula1>900</formula1>
    </dataValidation>
    <dataValidation type="textLength" operator="lessThanOrEqual" allowBlank="1" showInputMessage="1" showErrorMessage="1" errorTitle="Ошибка" error="Допускается ввод не более 900 символов!" sqref="V143">
      <formula1>900</formula1>
    </dataValidation>
    <dataValidation allowBlank="1" showInputMessage="1" showErrorMessage="1" prompt="Для выбора выполните двойной щелчок левой клавиши мыши по соответствующей ячейке." sqref="S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Для выбора выполните двойной щелчок левой клавиши мыши по соответствующей ячейке." sqref="O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1"/>
    <dataValidation type="textLength" operator="lessThanOrEqual" allowBlank="1" showInputMessage="1" showErrorMessage="1" errorTitle="Ошибка" error="Допускается ввод не более 900 символов!" sqref="W140">
      <formula1>900</formula1>
    </dataValidation>
    <dataValidation type="textLength" operator="lessThanOrEqual" allowBlank="1" showInputMessage="1" showErrorMessage="1" errorTitle="Ошибка" error="Допускается ввод не более 900 символов!" sqref="V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O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8"/>
    <dataValidation type="textLength" operator="lessThanOrEqual" allowBlank="1" showInputMessage="1" showErrorMessage="1" errorTitle="Ошибка" error="Допускается ввод не более 900 символов!" sqref="W137">
      <formula1>900</formula1>
    </dataValidation>
    <dataValidation type="textLength" operator="lessThanOrEqual" allowBlank="1" showInputMessage="1" showErrorMessage="1" errorTitle="Ошибка" error="Допускается ввод не более 900 символов!" sqref="V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O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Для выбора выполните двойной щелчок левой клавиши мыши по соответствующей ячейке." sqref="S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Для выбора выполните двойной щелчок левой клавиши мыши по соответствующей ячейке." sqref="F133"/>
    <dataValidation type="textLength" operator="lessThanOrEqual" allowBlank="1" showInputMessage="1" showErrorMessage="1" errorTitle="Ошибка" error="Допускается ввод не более 900 символов!" sqref="W132">
      <formula1>900</formula1>
    </dataValidation>
    <dataValidation type="textLength" operator="lessThanOrEqual" allowBlank="1" showInputMessage="1" showErrorMessage="1" errorTitle="Ошибка" error="Допускается ввод не более 900 символов!" sqref="V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O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type="textLength" operator="lessThanOrEqual" allowBlank="1" showInputMessage="1" showErrorMessage="1" errorTitle="Ошибка" error="Допускается ввод не более 900 символов!" sqref="W129">
      <formula1>900</formula1>
    </dataValidation>
    <dataValidation type="textLength" operator="lessThanOrEqual" allowBlank="1" showInputMessage="1" showErrorMessage="1" errorTitle="Ошибка" error="Допускается ввод не более 900 символов!" sqref="V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O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type="textLength" operator="lessThanOrEqual" allowBlank="1" showInputMessage="1" showErrorMessage="1" errorTitle="Ошибка" error="Допускается ввод не более 900 символов!" sqref="W127">
      <formula1>900</formula1>
    </dataValidation>
    <dataValidation type="textLength" operator="lessThanOrEqual" allowBlank="1" showInputMessage="1" showErrorMessage="1" errorTitle="Ошибка" error="Допускается ввод не более 900 символов!" sqref="V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O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type="textLength" operator="lessThanOrEqual" allowBlank="1" showInputMessage="1" showErrorMessage="1" errorTitle="Ошибка" error="Допускается ввод не более 900 символов!" sqref="W125">
      <formula1>900</formula1>
    </dataValidation>
    <dataValidation type="textLength" operator="lessThanOrEqual" allowBlank="1" showInputMessage="1" showErrorMessage="1" errorTitle="Ошибка" error="Допускается ввод не более 900 символов!" sqref="V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O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type="textLength" operator="lessThanOrEqual" allowBlank="1" showInputMessage="1" showErrorMessage="1" errorTitle="Ошибка" error="Допускается ввод не более 900 символов!" sqref="W123">
      <formula1>900</formula1>
    </dataValidation>
    <dataValidation type="textLength" operator="lessThanOrEqual" allowBlank="1" showInputMessage="1" showErrorMessage="1" errorTitle="Ошибка" error="Допускается ввод не более 900 символов!" sqref="V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O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73:O174 O105:O106 S105:S106 O110:O111 S110:S111 K105:K106 K110:K111 S99:S100 K168:K169 O168:O169 S168:S169 O115:O116 O58:O59 S58:S59 K58:K59 K63:K64 O63:O64 S63:S64 F79:F103 K99:K100 O99:O100 F105:F119 S115:S116 K115:K116 F121:F122 F131 F166:F177 S173:S174 K173:K174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68:J169 R168:R169 V168:W168 J58:J59 R58:R59 V58:W58 J63:J64 R63:R64 V63:W63 J99:J100 R99:R100 V99:W99 J115:J116 R115:R116 V115:W115 J173:J174 R173:R174 V173:W173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68:N170 N58:N60 N63:N65 N99:N101 N115:N117 N173:N175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22 G131 G166:G177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4265" hidden="1" customWidth="1"/>
    <col min="2" max="2" width="9.140625" style="4267" hidden="1" customWidth="1"/>
    <col min="3" max="3" width="4" style="5260" customWidth="1"/>
    <col min="4" max="4" width="6" style="4267" customWidth="1"/>
    <col min="5" max="5" width="47" style="4267" customWidth="1"/>
    <col min="6" max="6" width="9" style="4267" customWidth="1"/>
    <col min="7" max="7" width="25.7109375" style="4267" hidden="1" customWidth="1"/>
    <col min="8" max="8" width="34" style="4267" hidden="1" customWidth="1"/>
    <col min="9" max="9" width="25.7109375" style="4267" customWidth="1"/>
    <col min="10" max="10" width="33" style="4267" customWidth="1"/>
    <col min="11" max="11" width="50" style="4274" customWidth="1"/>
    <col min="12" max="20" width="10" style="4267" customWidth="1"/>
    <col min="21" max="21" width="10" style="5261" customWidth="1"/>
    <col min="22" max="22" width="10.5703125" style="4267" hidden="1"/>
  </cols>
  <sheetData>
    <row r="1" spans="1:22" s="4274" customFormat="1" ht="22.5" hidden="1" customHeight="1">
      <c r="C1" s="610"/>
      <c r="G1" s="355">
        <v>4</v>
      </c>
      <c r="I1" s="355">
        <v>4</v>
      </c>
      <c r="U1" s="358"/>
      <c r="V1" s="355" t="s">
        <v>14</v>
      </c>
    </row>
    <row r="2" spans="1:22" s="4267" customFormat="1" ht="15" hidden="1" customHeight="1">
      <c r="A2" s="300"/>
      <c r="C2" s="114"/>
      <c r="D2" s="284"/>
      <c r="E2" s="611"/>
      <c r="F2" s="460"/>
      <c r="G2" s="554"/>
      <c r="H2" s="554"/>
      <c r="I2" s="554"/>
      <c r="J2" s="554"/>
      <c r="U2" s="612"/>
      <c r="V2" s="447">
        <v>0</v>
      </c>
    </row>
    <row r="3" spans="1:22" s="427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5450" t="s">
        <v>1255</v>
      </c>
      <c r="E5" s="5450"/>
      <c r="F5" s="5450"/>
      <c r="G5" s="5450"/>
      <c r="H5" s="5450"/>
      <c r="I5" s="5450"/>
      <c r="J5" s="5450"/>
      <c r="V5" s="443">
        <v>63</v>
      </c>
    </row>
    <row r="6" spans="1:22" ht="15.75" customHeight="1">
      <c r="C6" s="114"/>
      <c r="D6" s="5423" t="str">
        <f>IF(org=0,"Не определено",org)</f>
        <v>КГУП "Примтеплоэнерго"</v>
      </c>
      <c r="E6" s="5423"/>
      <c r="F6" s="5423"/>
      <c r="G6" s="5423"/>
      <c r="H6" s="5423"/>
      <c r="I6" s="5423"/>
      <c r="J6" s="5423"/>
      <c r="K6" s="475"/>
      <c r="V6" s="443">
        <v>15</v>
      </c>
    </row>
    <row r="7" spans="1:22" ht="15.75" customHeight="1">
      <c r="C7" s="114"/>
      <c r="D7" s="690"/>
      <c r="E7" s="447"/>
      <c r="F7" s="447"/>
      <c r="G7" s="475">
        <v>22</v>
      </c>
      <c r="I7" s="475">
        <v>1</v>
      </c>
      <c r="J7" s="690"/>
      <c r="V7" s="443">
        <v>15</v>
      </c>
    </row>
    <row r="8" spans="1:22" s="4267" customFormat="1" ht="1.1499999999999999" customHeight="1">
      <c r="A8" s="695"/>
      <c r="C8" s="114"/>
      <c r="D8" s="447"/>
      <c r="E8" s="447"/>
      <c r="F8" s="447"/>
      <c r="G8" s="475"/>
      <c r="H8" s="690"/>
      <c r="I8" s="475" t="s">
        <v>149</v>
      </c>
      <c r="J8" s="690"/>
      <c r="K8" s="355"/>
      <c r="U8" s="613"/>
      <c r="V8" s="694">
        <v>1</v>
      </c>
    </row>
    <row r="9" spans="1:22" ht="15.75" customHeight="1">
      <c r="C9" s="114"/>
      <c r="D9" s="649"/>
      <c r="E9" s="5559" t="s">
        <v>141</v>
      </c>
      <c r="F9" s="5560"/>
      <c r="G9" s="5584" t="str">
        <f>IF(G8="","",INDEX(DIFFERENTIATION_UNMERGE_VD,MATCH(G8,DIFFERENTIATION_ID_DIFF,0)))</f>
        <v/>
      </c>
      <c r="H9" s="5585"/>
      <c r="I9" s="5584">
        <f>IF(I8="","",INDEX(DIFFERENTIATION_UNMERGE_VD,MATCH(I8,DIFFERENTIATION_ID_DIFF,0)))</f>
        <v>0</v>
      </c>
      <c r="J9" s="5585"/>
      <c r="K9" s="5403" t="s">
        <v>394</v>
      </c>
      <c r="V9" s="443">
        <v>15</v>
      </c>
    </row>
    <row r="10" spans="1:22" s="4267" customFormat="1" ht="15.75" customHeight="1">
      <c r="A10" s="695"/>
      <c r="C10" s="114"/>
      <c r="D10" s="649"/>
      <c r="E10" s="5559" t="s">
        <v>656</v>
      </c>
      <c r="F10" s="5560"/>
      <c r="G10" s="5584" t="str">
        <f>IF(G8="","",INDEX(DIFFERENTIATION_UNMERGE_AREA,MATCH(G8,DIFFERENTIATION_ID_DIFF,0)))</f>
        <v/>
      </c>
      <c r="H10" s="5585"/>
      <c r="I10" s="5584" t="str">
        <f>IF(I8="","",INDEX(DIFFERENTIATION_UNMERGE_AREA,MATCH(I8,DIFFERENTIATION_ID_DIFF,0)))</f>
        <v/>
      </c>
      <c r="J10" s="5585"/>
      <c r="K10" s="5408"/>
      <c r="U10" s="613"/>
      <c r="V10" s="694">
        <v>15</v>
      </c>
    </row>
    <row r="11" spans="1:22" s="4267" customFormat="1" ht="15.75" customHeight="1">
      <c r="A11" s="695"/>
      <c r="C11" s="114"/>
      <c r="D11" s="649"/>
      <c r="E11" s="5559" t="s">
        <v>657</v>
      </c>
      <c r="F11" s="5560"/>
      <c r="G11" s="5584" t="str">
        <f>IF(G8="","",INDEX(DIFFERENTIATION_UNMERGE_SYSTEM,MATCH(G8,DIFFERENTIATION_ID_DIFF,0)))</f>
        <v/>
      </c>
      <c r="H11" s="5585"/>
      <c r="I11" s="5584" t="str">
        <f>IF(I8="","",INDEX(DIFFERENTIATION_UNMERGE_SYSTEM,MATCH(I8,DIFFERENTIATION_ID_DIFF,0)))</f>
        <v>без дифференциации</v>
      </c>
      <c r="J11" s="5585"/>
      <c r="K11" s="5408"/>
      <c r="U11" s="613"/>
      <c r="V11" s="694">
        <v>15</v>
      </c>
    </row>
    <row r="12" spans="1:22" s="4267" customFormat="1" ht="15.75" customHeight="1">
      <c r="A12" s="695"/>
      <c r="C12" s="114"/>
      <c r="D12" s="5561" t="s">
        <v>393</v>
      </c>
      <c r="E12" s="5562"/>
      <c r="F12" s="5562"/>
      <c r="G12" s="814"/>
      <c r="H12" s="814"/>
      <c r="I12" s="814"/>
      <c r="J12" s="814"/>
      <c r="K12" s="5408"/>
      <c r="U12" s="613"/>
      <c r="V12" s="694">
        <v>15</v>
      </c>
    </row>
    <row r="13" spans="1:22" ht="35.65" customHeight="1">
      <c r="C13" s="114"/>
      <c r="D13" s="737" t="s">
        <v>88</v>
      </c>
      <c r="E13" s="739" t="s">
        <v>395</v>
      </c>
      <c r="F13" s="739" t="s">
        <v>658</v>
      </c>
      <c r="G13" s="740" t="s">
        <v>396</v>
      </c>
      <c r="H13" s="739" t="s">
        <v>483</v>
      </c>
      <c r="I13" s="740" t="s">
        <v>396</v>
      </c>
      <c r="J13" s="739" t="s">
        <v>483</v>
      </c>
      <c r="K13" s="5455"/>
      <c r="V13" s="443">
        <v>34</v>
      </c>
    </row>
    <row r="14" spans="1:22" ht="15" hidden="1" customHeight="1">
      <c r="C14" s="114"/>
      <c r="D14" s="531" t="s">
        <v>136</v>
      </c>
      <c r="E14" s="531" t="s">
        <v>103</v>
      </c>
      <c r="F14" s="531" t="s">
        <v>90</v>
      </c>
      <c r="G14" s="597" t="str">
        <f>G1&amp;".1"</f>
        <v>4.1</v>
      </c>
      <c r="H14" s="597"/>
      <c r="I14" s="597" t="str">
        <f>I1&amp;".1"</f>
        <v>4.1</v>
      </c>
      <c r="J14" s="597"/>
      <c r="K14" s="227"/>
      <c r="V14" s="443">
        <v>0</v>
      </c>
    </row>
    <row r="15" spans="1:22" ht="22.5" hidden="1" customHeight="1">
      <c r="A15" s="443"/>
      <c r="C15" s="464"/>
      <c r="D15" s="459">
        <v>1</v>
      </c>
      <c r="E15" s="615" t="s">
        <v>900</v>
      </c>
      <c r="F15" s="459" t="s">
        <v>901</v>
      </c>
      <c r="G15" s="616"/>
      <c r="H15" s="616"/>
      <c r="I15" s="616"/>
      <c r="J15" s="616"/>
      <c r="K15" s="227" t="s">
        <v>902</v>
      </c>
      <c r="V15" s="443">
        <v>0</v>
      </c>
    </row>
    <row r="16" spans="1:22" ht="22.5" hidden="1" customHeight="1">
      <c r="A16" s="443"/>
      <c r="C16" s="464"/>
      <c r="D16" s="459">
        <v>2</v>
      </c>
      <c r="E16" s="217" t="s">
        <v>903</v>
      </c>
      <c r="F16" s="459" t="s">
        <v>904</v>
      </c>
      <c r="G16" s="616"/>
      <c r="H16" s="616"/>
      <c r="I16" s="616"/>
      <c r="J16" s="616"/>
      <c r="K16" s="227" t="s">
        <v>905</v>
      </c>
      <c r="V16" s="443">
        <v>0</v>
      </c>
    </row>
    <row r="17" spans="1:22" ht="123.75" hidden="1" customHeight="1">
      <c r="A17" s="443"/>
      <c r="C17" s="464"/>
      <c r="D17" s="459">
        <v>3</v>
      </c>
      <c r="E17" s="217" t="s">
        <v>1256</v>
      </c>
      <c r="F17" s="459" t="s">
        <v>399</v>
      </c>
      <c r="G17" s="616"/>
      <c r="H17" s="616"/>
      <c r="I17" s="616"/>
      <c r="J17" s="616"/>
      <c r="K17" s="227" t="s">
        <v>1257</v>
      </c>
      <c r="V17" s="443">
        <v>0</v>
      </c>
    </row>
    <row r="18" spans="1:22" ht="48.2" customHeight="1">
      <c r="A18" s="443"/>
      <c r="C18" s="464"/>
      <c r="D18" s="459">
        <v>3</v>
      </c>
      <c r="E18" s="217" t="s">
        <v>906</v>
      </c>
      <c r="F18" s="459" t="s">
        <v>399</v>
      </c>
      <c r="G18" s="741" t="s">
        <v>399</v>
      </c>
      <c r="H18" s="742" t="s">
        <v>399</v>
      </c>
      <c r="I18" s="459" t="s">
        <v>399</v>
      </c>
      <c r="J18" s="516" t="s">
        <v>399</v>
      </c>
      <c r="K18" s="227" t="s">
        <v>1258</v>
      </c>
      <c r="V18" s="443">
        <v>46</v>
      </c>
    </row>
    <row r="19" spans="1:22" ht="35.65" customHeight="1">
      <c r="A19" s="443"/>
      <c r="C19" s="464"/>
      <c r="D19" s="477" t="s">
        <v>417</v>
      </c>
      <c r="E19" s="497" t="s">
        <v>908</v>
      </c>
      <c r="F19" s="459" t="s">
        <v>909</v>
      </c>
      <c r="G19" s="749"/>
      <c r="H19" s="47"/>
      <c r="I19" s="749"/>
      <c r="J19" s="750"/>
      <c r="K19" s="617"/>
      <c r="V19" s="443">
        <v>34</v>
      </c>
    </row>
    <row r="20" spans="1:22" ht="35.65" customHeight="1">
      <c r="A20" s="443"/>
      <c r="C20" s="464"/>
      <c r="D20" s="1808" t="s">
        <v>425</v>
      </c>
      <c r="E20" s="497" t="s">
        <v>910</v>
      </c>
      <c r="F20" s="459" t="s">
        <v>911</v>
      </c>
      <c r="G20" s="749"/>
      <c r="H20" s="47"/>
      <c r="I20" s="749"/>
      <c r="J20" s="47"/>
      <c r="K20" s="617"/>
      <c r="V20" s="443">
        <v>34</v>
      </c>
    </row>
    <row r="21" spans="1:22" ht="48.2" customHeight="1">
      <c r="A21" s="443"/>
      <c r="C21" s="464"/>
      <c r="D21" s="1808" t="s">
        <v>427</v>
      </c>
      <c r="E21" s="497" t="s">
        <v>912</v>
      </c>
      <c r="F21" s="459" t="s">
        <v>663</v>
      </c>
      <c r="G21" s="618"/>
      <c r="H21" s="47"/>
      <c r="I21" s="618"/>
      <c r="J21" s="47"/>
      <c r="K21" s="617"/>
      <c r="V21" s="443">
        <v>46</v>
      </c>
    </row>
    <row r="22" spans="1:22" ht="67.5" hidden="1" customHeight="1">
      <c r="A22" s="443"/>
      <c r="C22" s="464"/>
      <c r="D22" s="459">
        <v>5</v>
      </c>
      <c r="E22" s="217" t="s">
        <v>1259</v>
      </c>
      <c r="F22" s="459" t="s">
        <v>650</v>
      </c>
      <c r="G22" s="619"/>
      <c r="H22" s="620"/>
      <c r="I22" s="619"/>
      <c r="J22" s="620"/>
      <c r="K22" s="227" t="s">
        <v>1260</v>
      </c>
      <c r="V22" s="443">
        <v>0</v>
      </c>
    </row>
    <row r="23" spans="1:22" ht="33.75" hidden="1" customHeight="1">
      <c r="C23" s="389"/>
      <c r="D23" s="459">
        <v>6</v>
      </c>
      <c r="E23" s="217" t="s">
        <v>1261</v>
      </c>
      <c r="F23" s="459" t="s">
        <v>1262</v>
      </c>
      <c r="G23" s="619"/>
      <c r="H23" s="619"/>
      <c r="I23" s="619"/>
      <c r="J23" s="619"/>
      <c r="K23" s="227" t="s">
        <v>1263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82</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5272" customWidth="1"/>
    <col min="2" max="2" width="11" style="4278" customWidth="1"/>
    <col min="3" max="3" width="9.140625" style="4278"/>
    <col min="4" max="4" width="26.5703125" style="4278" customWidth="1"/>
    <col min="5" max="5" width="36.85546875" style="5268" customWidth="1"/>
    <col min="6" max="6" width="23.5703125" style="5268" customWidth="1"/>
    <col min="7" max="7" width="31.42578125" style="5268" customWidth="1"/>
    <col min="8" max="8" width="40.85546875" style="5268" customWidth="1"/>
    <col min="9" max="9" width="14.5703125" style="5268" customWidth="1"/>
    <col min="10" max="10" width="26.85546875" style="5268" customWidth="1"/>
    <col min="11" max="11" width="50" style="5268" customWidth="1"/>
    <col min="12" max="12" width="52.42578125" style="5268" customWidth="1"/>
    <col min="13" max="13" width="10.7109375" style="5268" customWidth="1"/>
    <col min="14" max="14" width="55.140625" style="5268" customWidth="1"/>
    <col min="15" max="15" width="31.85546875" style="5268" customWidth="1"/>
    <col min="16" max="16" width="23.85546875" style="5268" customWidth="1"/>
    <col min="17" max="17" width="46.5703125" style="5268" customWidth="1"/>
    <col min="18" max="18" width="24" style="5268" customWidth="1"/>
    <col min="19" max="19" width="20.5703125" style="5268" customWidth="1"/>
    <col min="20" max="20" width="22" style="5268" customWidth="1"/>
    <col min="21" max="22" width="26.42578125" style="5268" customWidth="1"/>
    <col min="23" max="23" width="8.28515625" style="5268" hidden="1" customWidth="1"/>
    <col min="24" max="24" width="59.7109375" style="5268" customWidth="1"/>
    <col min="25" max="25" width="49.140625" style="5268" customWidth="1"/>
    <col min="26" max="26" width="11.140625" style="5268" customWidth="1"/>
    <col min="27" max="30" width="29" style="5268" customWidth="1"/>
    <col min="31" max="31" width="9.140625" style="5268"/>
    <col min="32" max="32" width="34.7109375" style="5268" customWidth="1"/>
    <col min="33" max="33" width="9.140625" style="5268"/>
    <col min="34" max="35" width="34.42578125" style="5268" customWidth="1"/>
    <col min="36" max="36" width="9.140625" style="5268"/>
    <col min="37" max="37" width="24.5703125" style="5268" customWidth="1"/>
    <col min="38" max="38" width="9.140625" style="5268"/>
    <col min="39" max="39" width="26.140625" style="5268" customWidth="1"/>
    <col min="40" max="40" width="1.7109375" style="5268" customWidth="1"/>
    <col min="41" max="41" width="9.140625" style="5268"/>
    <col min="42" max="43" width="47.85546875" style="5268" customWidth="1"/>
    <col min="44" max="44" width="1.7109375" style="5268" customWidth="1"/>
    <col min="45" max="45" width="21.42578125" style="5268" customWidth="1"/>
    <col min="46" max="46" width="1.7109375" style="5268" customWidth="1"/>
    <col min="47" max="47" width="31.28515625" style="5268" customWidth="1"/>
    <col min="48" max="48" width="1.7109375" style="5268" customWidth="1"/>
    <col min="49" max="50" width="9.140625" style="5268"/>
    <col min="51" max="51" width="3.7109375" style="5268" customWidth="1"/>
    <col min="52" max="52" width="60.85546875" style="5268" customWidth="1"/>
    <col min="53" max="53" width="49.28515625" style="5268" customWidth="1"/>
    <col min="54" max="54" width="35.140625" style="5268" customWidth="1"/>
    <col min="55" max="55" width="9.140625" style="5268"/>
    <col min="56" max="56" width="1.7109375" style="5268" customWidth="1"/>
    <col min="57" max="57" width="12.5703125" style="5273" customWidth="1"/>
    <col min="58" max="58" width="14.28515625" style="5273" customWidth="1"/>
    <col min="59" max="59" width="30.7109375" style="5268" customWidth="1"/>
    <col min="60" max="60" width="40.7109375" style="5274" customWidth="1"/>
    <col min="61" max="61" width="15" style="5274" customWidth="1"/>
    <col min="62" max="62" width="40.7109375" style="5274" customWidth="1"/>
    <col min="63" max="63" width="2.7109375" style="5274" customWidth="1"/>
    <col min="64" max="64" width="44.7109375" style="5274" customWidth="1"/>
    <col min="65" max="65" width="2.7109375" style="5274" customWidth="1"/>
    <col min="66" max="66" width="40.7109375" style="5274" customWidth="1"/>
    <col min="67" max="68" width="9.140625" style="5268"/>
    <col min="69" max="69" width="18.140625" style="5268" customWidth="1"/>
    <col min="70" max="70" width="57.85546875" style="5268" customWidth="1"/>
    <col min="71" max="71" width="1.7109375" style="5268" customWidth="1"/>
    <col min="72" max="72" width="22.5703125" style="5268" customWidth="1"/>
    <col min="73" max="73" width="57.85546875" style="5268" customWidth="1"/>
    <col min="74" max="74" width="1.7109375" style="5268" customWidth="1"/>
    <col min="75" max="75" width="22.5703125" style="5268" customWidth="1"/>
    <col min="76" max="76" width="57.85546875" style="5268" customWidth="1"/>
    <col min="77" max="77" width="1.7109375" style="5268" customWidth="1"/>
    <col min="78" max="78" width="22.5703125" style="5268" customWidth="1"/>
    <col min="79" max="79" width="57.85546875" style="5268" customWidth="1"/>
    <col min="80" max="81" width="9.140625" style="5268"/>
    <col min="82" max="82" width="49.5703125" style="5268" customWidth="1"/>
  </cols>
  <sheetData>
    <row r="1" spans="1:79" s="5271" customFormat="1" ht="11.25" customHeight="1">
      <c r="A1" s="991" t="s">
        <v>1264</v>
      </c>
      <c r="B1" s="991" t="s">
        <v>1265</v>
      </c>
      <c r="C1" s="991" t="s">
        <v>1266</v>
      </c>
      <c r="D1" s="991" t="s">
        <v>1267</v>
      </c>
      <c r="E1" s="991" t="s">
        <v>1268</v>
      </c>
      <c r="F1" s="991" t="s">
        <v>1269</v>
      </c>
      <c r="G1" s="991" t="s">
        <v>1270</v>
      </c>
      <c r="H1" s="991" t="s">
        <v>1271</v>
      </c>
      <c r="I1" s="991" t="s">
        <v>1272</v>
      </c>
      <c r="J1" s="991" t="s">
        <v>1273</v>
      </c>
      <c r="K1" s="991" t="s">
        <v>1274</v>
      </c>
      <c r="L1" s="991" t="s">
        <v>1275</v>
      </c>
      <c r="M1" s="991"/>
      <c r="N1" s="991" t="s">
        <v>1276</v>
      </c>
      <c r="O1" s="991" t="s">
        <v>1277</v>
      </c>
      <c r="P1" s="991" t="s">
        <v>1278</v>
      </c>
      <c r="Q1" s="991" t="s">
        <v>1279</v>
      </c>
      <c r="R1" s="991" t="s">
        <v>1280</v>
      </c>
      <c r="S1" s="991" t="s">
        <v>1281</v>
      </c>
      <c r="T1" s="991" t="s">
        <v>1282</v>
      </c>
      <c r="U1" s="991" t="s">
        <v>1283</v>
      </c>
      <c r="V1" s="991"/>
      <c r="W1" s="729" t="s">
        <v>1284</v>
      </c>
      <c r="X1" s="991" t="s">
        <v>1285</v>
      </c>
      <c r="Y1" s="991" t="s">
        <v>1286</v>
      </c>
      <c r="Z1" s="991"/>
      <c r="AA1" s="991" t="s">
        <v>1287</v>
      </c>
      <c r="AB1" s="991"/>
      <c r="AC1" s="991" t="s">
        <v>1288</v>
      </c>
      <c r="AD1" s="991"/>
      <c r="AF1" s="991" t="s">
        <v>1289</v>
      </c>
      <c r="AH1" s="991" t="s">
        <v>1290</v>
      </c>
      <c r="AI1" s="991" t="s">
        <v>1291</v>
      </c>
      <c r="AK1" s="991" t="s">
        <v>1292</v>
      </c>
      <c r="AM1" s="991" t="s">
        <v>1293</v>
      </c>
      <c r="AP1" s="991" t="s">
        <v>1294</v>
      </c>
      <c r="AQ1" s="991" t="s">
        <v>1295</v>
      </c>
      <c r="AS1" s="991" t="s">
        <v>1296</v>
      </c>
      <c r="AU1" s="991" t="s">
        <v>1297</v>
      </c>
      <c r="AW1" s="991" t="s">
        <v>1298</v>
      </c>
      <c r="AX1" s="991" t="s">
        <v>1299</v>
      </c>
      <c r="AZ1" s="1073" t="s">
        <v>1300</v>
      </c>
      <c r="BB1" s="991" t="s">
        <v>1301</v>
      </c>
      <c r="BC1" s="991"/>
      <c r="BE1" s="991" t="s">
        <v>1302</v>
      </c>
      <c r="BF1" s="991" t="s">
        <v>1303</v>
      </c>
      <c r="BH1" s="993" t="s">
        <v>899</v>
      </c>
      <c r="BI1" s="994"/>
      <c r="BJ1" s="995" t="s">
        <v>1304</v>
      </c>
      <c r="BK1" s="994"/>
      <c r="BL1" s="996" t="s">
        <v>998</v>
      </c>
      <c r="BM1" s="994"/>
      <c r="BN1" s="997" t="s">
        <v>1305</v>
      </c>
      <c r="BS1" s="1348"/>
    </row>
    <row r="2" spans="1:79" ht="11.25" customHeight="1">
      <c r="A2" s="998" t="s">
        <v>1306</v>
      </c>
      <c r="B2" s="999">
        <v>2000</v>
      </c>
      <c r="C2" s="999">
        <v>2022</v>
      </c>
      <c r="D2" s="999" t="s">
        <v>66</v>
      </c>
      <c r="E2" s="1000" t="s">
        <v>1307</v>
      </c>
      <c r="F2" s="1000" t="s">
        <v>1308</v>
      </c>
      <c r="G2" s="1000" t="s">
        <v>1309</v>
      </c>
      <c r="H2" s="1001" t="s">
        <v>55</v>
      </c>
      <c r="I2" s="1000" t="s">
        <v>136</v>
      </c>
      <c r="J2" s="1000" t="s">
        <v>1310</v>
      </c>
      <c r="K2" s="1002" t="s">
        <v>1311</v>
      </c>
      <c r="L2" s="1003"/>
      <c r="M2" s="1002">
        <v>1</v>
      </c>
      <c r="N2" s="1083" t="s">
        <v>1312</v>
      </c>
      <c r="O2" s="1001" t="s">
        <v>1313</v>
      </c>
      <c r="P2" s="1004" t="s">
        <v>1314</v>
      </c>
      <c r="Q2" s="1005" t="s">
        <v>611</v>
      </c>
      <c r="R2" s="83" t="s">
        <v>1315</v>
      </c>
      <c r="S2" s="83" t="s">
        <v>1316</v>
      </c>
      <c r="T2" s="1006" t="s">
        <v>1317</v>
      </c>
      <c r="U2" s="1003" t="s">
        <v>1318</v>
      </c>
      <c r="V2" s="1007">
        <v>1</v>
      </c>
      <c r="W2" s="1008"/>
      <c r="X2" s="1008" t="s">
        <v>1319</v>
      </c>
      <c r="Y2" s="999" t="s">
        <v>1320</v>
      </c>
      <c r="Z2" s="1009"/>
      <c r="AA2" s="999" t="s">
        <v>1321</v>
      </c>
      <c r="AB2" s="1010" t="s">
        <v>1321</v>
      </c>
      <c r="AC2" s="999" t="s">
        <v>1322</v>
      </c>
      <c r="AD2" s="1010" t="s">
        <v>1322</v>
      </c>
      <c r="AF2" s="1001" t="s">
        <v>1318</v>
      </c>
      <c r="AH2" s="1000" t="s">
        <v>1323</v>
      </c>
      <c r="AI2" s="1000" t="s">
        <v>1323</v>
      </c>
      <c r="AK2" s="1000" t="s">
        <v>1324</v>
      </c>
      <c r="AM2" s="1000" t="s">
        <v>1325</v>
      </c>
      <c r="AP2" s="1011" t="s">
        <v>1319</v>
      </c>
      <c r="AQ2" s="1012" t="s">
        <v>1319</v>
      </c>
      <c r="AS2" s="999" t="s">
        <v>1326</v>
      </c>
      <c r="AU2" s="1041" t="s">
        <v>1327</v>
      </c>
      <c r="AW2" s="1041" t="s">
        <v>1328</v>
      </c>
      <c r="AX2" s="1041" t="s">
        <v>1328</v>
      </c>
      <c r="AZ2" s="1041" t="s">
        <v>1329</v>
      </c>
      <c r="BB2" s="1041" t="s">
        <v>1330</v>
      </c>
      <c r="BC2" s="1041" t="s">
        <v>1331</v>
      </c>
      <c r="BE2" s="1041">
        <v>2000</v>
      </c>
      <c r="BF2" s="1041" t="s">
        <v>1332</v>
      </c>
    </row>
    <row r="3" spans="1:79" ht="11.25" customHeight="1">
      <c r="A3" s="998" t="s">
        <v>1333</v>
      </c>
      <c r="B3" s="999">
        <v>2001</v>
      </c>
      <c r="C3" s="999">
        <v>2023</v>
      </c>
      <c r="D3" s="999" t="s">
        <v>19</v>
      </c>
      <c r="E3" s="1000" t="s">
        <v>1334</v>
      </c>
      <c r="F3" s="1000" t="s">
        <v>1335</v>
      </c>
      <c r="G3" s="1000" t="s">
        <v>1336</v>
      </c>
      <c r="H3" s="1001" t="s">
        <v>1337</v>
      </c>
      <c r="I3" s="1000" t="s">
        <v>103</v>
      </c>
      <c r="J3" s="1000" t="s">
        <v>648</v>
      </c>
      <c r="K3" s="1002" t="s">
        <v>1242</v>
      </c>
      <c r="L3" s="1003">
        <f>IFERROR(MATCH(K3,OFFER_METHOD,0),0)</f>
        <v>52</v>
      </c>
      <c r="M3" s="1002">
        <v>2</v>
      </c>
      <c r="N3" s="1083" t="s">
        <v>1338</v>
      </c>
      <c r="O3" s="1001" t="s">
        <v>1339</v>
      </c>
      <c r="P3" s="1004" t="s">
        <v>37</v>
      </c>
      <c r="Q3" s="1005" t="s">
        <v>1340</v>
      </c>
      <c r="R3" s="83" t="s">
        <v>1341</v>
      </c>
      <c r="S3" s="83" t="s">
        <v>1342</v>
      </c>
      <c r="T3" s="1006" t="s">
        <v>1343</v>
      </c>
      <c r="U3" s="1003" t="s">
        <v>1344</v>
      </c>
      <c r="V3" s="1007">
        <v>2</v>
      </c>
      <c r="W3" s="1008"/>
      <c r="X3" s="1008" t="s">
        <v>1345</v>
      </c>
      <c r="Y3" s="999" t="s">
        <v>1320</v>
      </c>
      <c r="Z3" s="1009"/>
      <c r="AA3" s="999" t="s">
        <v>1346</v>
      </c>
      <c r="AB3" s="1010" t="s">
        <v>1346</v>
      </c>
      <c r="AC3" s="999" t="s">
        <v>1347</v>
      </c>
      <c r="AD3" s="1010" t="s">
        <v>1347</v>
      </c>
      <c r="AF3" s="1001" t="s">
        <v>1344</v>
      </c>
      <c r="AH3" s="1000" t="s">
        <v>1348</v>
      </c>
      <c r="AI3" s="1000" t="s">
        <v>1349</v>
      </c>
      <c r="AK3" s="1000" t="s">
        <v>1350</v>
      </c>
      <c r="AM3" s="1000" t="s">
        <v>1351</v>
      </c>
      <c r="AP3" s="1011" t="s">
        <v>1352</v>
      </c>
      <c r="AQ3" s="1012" t="s">
        <v>1352</v>
      </c>
      <c r="AS3" s="999" t="s">
        <v>1353</v>
      </c>
      <c r="AU3" s="1041" t="s">
        <v>1354</v>
      </c>
      <c r="AW3" s="1041" t="s">
        <v>1355</v>
      </c>
      <c r="AX3" s="1041" t="s">
        <v>1355</v>
      </c>
      <c r="AZ3" s="1041" t="s">
        <v>1356</v>
      </c>
      <c r="BB3" s="1041" t="s">
        <v>1357</v>
      </c>
      <c r="BC3" s="1041" t="s">
        <v>1331</v>
      </c>
      <c r="BE3" s="1041">
        <v>2001</v>
      </c>
      <c r="BF3" s="1041" t="s">
        <v>1358</v>
      </c>
      <c r="BH3" s="991" t="s">
        <v>1359</v>
      </c>
      <c r="BJ3" s="991" t="s">
        <v>1360</v>
      </c>
      <c r="BL3" s="991" t="s">
        <v>1361</v>
      </c>
      <c r="BN3" s="991" t="s">
        <v>1362</v>
      </c>
      <c r="BR3" s="991" t="s">
        <v>1363</v>
      </c>
      <c r="BS3" s="1349"/>
      <c r="BT3" s="994"/>
      <c r="BU3" s="991" t="s">
        <v>1364</v>
      </c>
      <c r="BV3" s="994"/>
      <c r="BW3" s="1611"/>
      <c r="BX3" s="1613" t="s">
        <v>1365</v>
      </c>
      <c r="CA3" s="991" t="s">
        <v>1366</v>
      </c>
    </row>
    <row r="4" spans="1:79" ht="11.25" customHeight="1">
      <c r="A4" s="998" t="s">
        <v>1367</v>
      </c>
      <c r="B4" s="999">
        <v>2002</v>
      </c>
      <c r="C4" s="999">
        <v>2024</v>
      </c>
      <c r="E4" s="1000" t="s">
        <v>1368</v>
      </c>
      <c r="F4" s="1000" t="s">
        <v>1369</v>
      </c>
      <c r="H4" s="1001" t="s">
        <v>1370</v>
      </c>
      <c r="I4" s="1000" t="s">
        <v>90</v>
      </c>
      <c r="J4" s="1000" t="s">
        <v>1371</v>
      </c>
      <c r="K4" s="1002" t="s">
        <v>1372</v>
      </c>
      <c r="L4" s="1003">
        <f>IFERROR(MATCH(K4,OFFER_METHOD,0),0)</f>
        <v>0</v>
      </c>
      <c r="M4" s="1002">
        <v>3</v>
      </c>
      <c r="N4" s="1083" t="s">
        <v>1373</v>
      </c>
      <c r="O4" s="1000" t="s">
        <v>1374</v>
      </c>
      <c r="Q4" s="1005" t="s">
        <v>1375</v>
      </c>
      <c r="R4" s="83" t="s">
        <v>1376</v>
      </c>
      <c r="S4" s="83" t="s">
        <v>1377</v>
      </c>
      <c r="T4" s="1006" t="s">
        <v>1378</v>
      </c>
      <c r="U4" s="1003" t="s">
        <v>1379</v>
      </c>
      <c r="V4" s="1007">
        <v>3</v>
      </c>
      <c r="W4" s="1008"/>
      <c r="X4" s="1008" t="s">
        <v>1380</v>
      </c>
      <c r="Y4" s="999" t="s">
        <v>1320</v>
      </c>
      <c r="Z4" s="1014"/>
      <c r="AC4" s="999" t="s">
        <v>1381</v>
      </c>
      <c r="AD4" s="1010" t="s">
        <v>1381</v>
      </c>
      <c r="AF4" s="1001" t="s">
        <v>1379</v>
      </c>
      <c r="AH4" s="1001" t="s">
        <v>1382</v>
      </c>
      <c r="AK4" s="1000" t="s">
        <v>1383</v>
      </c>
      <c r="AM4" s="1000" t="s">
        <v>1384</v>
      </c>
      <c r="AP4" s="1011" t="s">
        <v>1345</v>
      </c>
      <c r="AQ4" s="1012" t="s">
        <v>1345</v>
      </c>
      <c r="AS4" s="999" t="s">
        <v>1385</v>
      </c>
      <c r="AU4" s="1041" t="s">
        <v>1386</v>
      </c>
      <c r="AW4" s="1041" t="s">
        <v>1387</v>
      </c>
      <c r="AX4" s="1041" t="s">
        <v>1387</v>
      </c>
      <c r="AZ4" s="1041" t="s">
        <v>1388</v>
      </c>
      <c r="BB4" s="1041" t="s">
        <v>1389</v>
      </c>
      <c r="BC4" s="1041" t="s">
        <v>1390</v>
      </c>
      <c r="BE4" s="1041">
        <v>2002</v>
      </c>
      <c r="BF4" s="1041" t="s">
        <v>1391</v>
      </c>
      <c r="BH4" s="992" t="s">
        <v>1392</v>
      </c>
      <c r="BJ4" s="992" t="s">
        <v>1392</v>
      </c>
      <c r="BL4" s="992" t="s">
        <v>1392</v>
      </c>
      <c r="BN4" s="992" t="s">
        <v>1392</v>
      </c>
      <c r="BQ4" s="1353" t="s">
        <v>1393</v>
      </c>
      <c r="BR4" s="1080" t="s">
        <v>1394</v>
      </c>
      <c r="BS4" s="212"/>
      <c r="BT4" s="1353" t="s">
        <v>1395</v>
      </c>
      <c r="BU4" s="1080" t="s">
        <v>1396</v>
      </c>
      <c r="BV4" s="994"/>
      <c r="BW4" s="1618" t="s">
        <v>1397</v>
      </c>
      <c r="BX4" s="1612" t="s">
        <v>1398</v>
      </c>
      <c r="BZ4" s="1353" t="s">
        <v>1399</v>
      </c>
      <c r="CA4" s="1080" t="s">
        <v>1400</v>
      </c>
    </row>
    <row r="5" spans="1:79" ht="11.25" customHeight="1">
      <c r="A5" s="998" t="s">
        <v>1401</v>
      </c>
      <c r="B5" s="999">
        <v>2003</v>
      </c>
      <c r="C5" s="999">
        <v>2025</v>
      </c>
      <c r="E5" s="1000" t="s">
        <v>1402</v>
      </c>
      <c r="F5" s="1000" t="s">
        <v>1403</v>
      </c>
      <c r="H5" s="1001" t="s">
        <v>1404</v>
      </c>
      <c r="I5" s="1000" t="s">
        <v>91</v>
      </c>
      <c r="K5" s="1002" t="s">
        <v>1405</v>
      </c>
      <c r="L5" s="1003">
        <f>IFERROR(MATCH(K5,OFFER_METHOD,0),0)</f>
        <v>0</v>
      </c>
      <c r="M5" s="1002">
        <v>4</v>
      </c>
      <c r="N5" s="1015" t="s">
        <v>1406</v>
      </c>
      <c r="O5" s="1000" t="s">
        <v>1407</v>
      </c>
      <c r="Q5" s="1005" t="s">
        <v>1408</v>
      </c>
      <c r="R5" s="83" t="s">
        <v>1409</v>
      </c>
      <c r="T5" s="1001" t="s">
        <v>1410</v>
      </c>
      <c r="U5" s="1003" t="s">
        <v>1411</v>
      </c>
      <c r="V5" s="1007">
        <v>4</v>
      </c>
      <c r="W5" s="1008"/>
      <c r="X5" s="1008" t="s">
        <v>197</v>
      </c>
      <c r="Y5" s="999" t="s">
        <v>1412</v>
      </c>
      <c r="Z5" s="1014">
        <v>1</v>
      </c>
      <c r="AF5" s="1001" t="s">
        <v>1413</v>
      </c>
      <c r="AH5" s="1000" t="s">
        <v>1414</v>
      </c>
      <c r="AK5" s="1000" t="s">
        <v>1415</v>
      </c>
      <c r="AM5" s="1000" t="s">
        <v>1416</v>
      </c>
      <c r="AP5" s="1011" t="s">
        <v>197</v>
      </c>
      <c r="AQ5" s="1012" t="s">
        <v>197</v>
      </c>
      <c r="AU5" s="1041" t="s">
        <v>1417</v>
      </c>
      <c r="AW5" s="1041" t="s">
        <v>1418</v>
      </c>
      <c r="AX5" s="1041" t="s">
        <v>1418</v>
      </c>
      <c r="AZ5" s="1041" t="s">
        <v>1419</v>
      </c>
      <c r="BB5" s="1041" t="s">
        <v>1420</v>
      </c>
      <c r="BC5" s="1041" t="s">
        <v>1421</v>
      </c>
      <c r="BE5" s="1041">
        <v>2003</v>
      </c>
      <c r="BF5" s="1041" t="s">
        <v>1422</v>
      </c>
      <c r="BH5" s="992" t="s">
        <v>1423</v>
      </c>
      <c r="BJ5" s="992" t="s">
        <v>1423</v>
      </c>
      <c r="BL5" s="992" t="s">
        <v>1423</v>
      </c>
      <c r="BN5" s="992" t="s">
        <v>1424</v>
      </c>
      <c r="BQ5" s="1202">
        <v>4213775</v>
      </c>
      <c r="BR5" s="992" t="s">
        <v>1319</v>
      </c>
      <c r="BS5" s="1350"/>
      <c r="BT5" s="1202">
        <v>64236871</v>
      </c>
      <c r="BU5" s="992" t="s">
        <v>258</v>
      </c>
      <c r="BV5" s="994"/>
      <c r="BW5" s="1616">
        <v>4213767</v>
      </c>
      <c r="BX5" s="1614" t="s">
        <v>1425</v>
      </c>
      <c r="BZ5" s="1202">
        <v>64237509</v>
      </c>
      <c r="CA5" s="1216" t="s">
        <v>1426</v>
      </c>
    </row>
    <row r="6" spans="1:79" ht="11.25" customHeight="1">
      <c r="A6" s="998" t="s">
        <v>1427</v>
      </c>
      <c r="B6" s="999">
        <v>2004</v>
      </c>
      <c r="C6" s="999">
        <v>2026</v>
      </c>
      <c r="E6" s="1000" t="s">
        <v>1428</v>
      </c>
      <c r="F6" s="1016"/>
      <c r="H6" s="1001" t="s">
        <v>1429</v>
      </c>
      <c r="I6" s="1000" t="s">
        <v>116</v>
      </c>
      <c r="J6" s="991" t="s">
        <v>1430</v>
      </c>
      <c r="L6" s="1003">
        <f>SUM(kind_of_control_method_filter)</f>
        <v>52</v>
      </c>
      <c r="N6" s="1015" t="s">
        <v>1431</v>
      </c>
      <c r="O6" s="1000" t="s">
        <v>1432</v>
      </c>
      <c r="R6" s="83" t="s">
        <v>611</v>
      </c>
      <c r="T6" s="1001" t="s">
        <v>1433</v>
      </c>
      <c r="U6" s="1003" t="s">
        <v>1413</v>
      </c>
      <c r="V6" s="1007">
        <v>5</v>
      </c>
      <c r="W6" s="1008"/>
      <c r="X6" s="999" t="s">
        <v>203</v>
      </c>
      <c r="Y6" s="999" t="s">
        <v>1434</v>
      </c>
      <c r="Z6" s="1014"/>
      <c r="AA6" s="1017"/>
      <c r="AH6" s="1000" t="s">
        <v>1435</v>
      </c>
      <c r="AK6" s="1000" t="s">
        <v>1436</v>
      </c>
      <c r="AM6" s="1000" t="s">
        <v>1437</v>
      </c>
      <c r="AP6" s="1011" t="s">
        <v>203</v>
      </c>
      <c r="AQ6" s="1012" t="s">
        <v>203</v>
      </c>
      <c r="AU6" s="1041" t="s">
        <v>1438</v>
      </c>
      <c r="AW6" s="1041" t="s">
        <v>1439</v>
      </c>
      <c r="AX6" s="1041" t="s">
        <v>1439</v>
      </c>
      <c r="BB6" s="1041" t="s">
        <v>1440</v>
      </c>
      <c r="BC6" s="1041" t="s">
        <v>1421</v>
      </c>
      <c r="BE6" s="1041">
        <v>2004</v>
      </c>
      <c r="BF6" s="1041" t="s">
        <v>1441</v>
      </c>
      <c r="BH6" s="992" t="s">
        <v>1442</v>
      </c>
      <c r="BJ6" s="992" t="s">
        <v>1443</v>
      </c>
      <c r="BL6" s="992" t="s">
        <v>1443</v>
      </c>
      <c r="BN6" s="992" t="s">
        <v>1444</v>
      </c>
      <c r="BQ6" s="1202">
        <v>4213784</v>
      </c>
      <c r="BR6" s="1216" t="s">
        <v>1352</v>
      </c>
      <c r="BS6" s="1351"/>
      <c r="BT6" s="1202">
        <v>64236872</v>
      </c>
      <c r="BU6" s="992" t="s">
        <v>263</v>
      </c>
      <c r="BV6" s="994"/>
      <c r="BW6" s="1616">
        <v>4213768</v>
      </c>
      <c r="BX6" s="1614" t="s">
        <v>283</v>
      </c>
      <c r="BZ6" s="1202">
        <v>64237510</v>
      </c>
      <c r="CA6" s="992" t="s">
        <v>1445</v>
      </c>
    </row>
    <row r="7" spans="1:79" ht="11.25" customHeight="1">
      <c r="A7" s="998" t="s">
        <v>1446</v>
      </c>
      <c r="B7" s="999">
        <v>2005</v>
      </c>
      <c r="E7" s="1000" t="s">
        <v>1447</v>
      </c>
      <c r="F7" s="1016"/>
      <c r="H7" s="1001" t="s">
        <v>1448</v>
      </c>
      <c r="I7" s="1000" t="s">
        <v>92</v>
      </c>
      <c r="J7" s="1000" t="s">
        <v>1449</v>
      </c>
      <c r="N7" s="1019" t="s">
        <v>1450</v>
      </c>
      <c r="O7" s="1000" t="s">
        <v>1451</v>
      </c>
      <c r="U7" s="1003" t="s">
        <v>19</v>
      </c>
      <c r="V7" s="308" t="s">
        <v>92</v>
      </c>
      <c r="W7" s="1008"/>
      <c r="X7" s="999" t="s">
        <v>209</v>
      </c>
      <c r="Y7" s="999" t="s">
        <v>1412</v>
      </c>
      <c r="Z7" s="1014"/>
      <c r="AA7" s="1017"/>
      <c r="AH7" s="1000" t="s">
        <v>1452</v>
      </c>
      <c r="AK7" s="1000" t="s">
        <v>1453</v>
      </c>
      <c r="AM7" s="1000" t="s">
        <v>1454</v>
      </c>
      <c r="AP7" s="1011" t="s">
        <v>209</v>
      </c>
      <c r="AQ7" s="1012" t="s">
        <v>209</v>
      </c>
      <c r="AU7" s="1041" t="s">
        <v>1455</v>
      </c>
      <c r="AW7" s="1041" t="s">
        <v>1456</v>
      </c>
      <c r="AX7" s="1041" t="s">
        <v>1456</v>
      </c>
      <c r="AZ7" s="991" t="s">
        <v>1457</v>
      </c>
      <c r="BB7" s="1041" t="s">
        <v>1458</v>
      </c>
      <c r="BC7" s="1041" t="s">
        <v>1421</v>
      </c>
      <c r="BE7" s="1041">
        <v>2005</v>
      </c>
      <c r="BF7" s="1041" t="s">
        <v>1459</v>
      </c>
      <c r="BH7" s="992" t="s">
        <v>1460</v>
      </c>
      <c r="BJ7" s="992" t="s">
        <v>1442</v>
      </c>
      <c r="BL7" s="992" t="s">
        <v>1442</v>
      </c>
      <c r="BN7" s="992" t="s">
        <v>1461</v>
      </c>
      <c r="BQ7" s="1202">
        <v>4213781</v>
      </c>
      <c r="BR7" s="992" t="s">
        <v>1345</v>
      </c>
      <c r="BS7" s="1350"/>
      <c r="BT7" s="1202">
        <v>64236873</v>
      </c>
      <c r="BU7" s="992" t="s">
        <v>268</v>
      </c>
      <c r="BV7" s="994"/>
      <c r="BW7" s="1616">
        <v>4213769</v>
      </c>
      <c r="BX7" s="1614" t="s">
        <v>1462</v>
      </c>
      <c r="BZ7" s="1202">
        <v>64237511</v>
      </c>
      <c r="CA7" s="992" t="s">
        <v>362</v>
      </c>
    </row>
    <row r="8" spans="1:79" ht="11.25" customHeight="1">
      <c r="A8" s="998" t="s">
        <v>1463</v>
      </c>
      <c r="B8" s="999">
        <v>2006</v>
      </c>
      <c r="E8" s="1000" t="s">
        <v>1464</v>
      </c>
      <c r="F8" s="1016"/>
      <c r="H8" s="1001" t="s">
        <v>1465</v>
      </c>
      <c r="I8" s="1000" t="s">
        <v>93</v>
      </c>
      <c r="J8" s="1000" t="s">
        <v>1466</v>
      </c>
      <c r="N8" s="1084" t="s">
        <v>1467</v>
      </c>
      <c r="O8" s="1000" t="s">
        <v>1468</v>
      </c>
      <c r="V8" s="308" t="s">
        <v>93</v>
      </c>
      <c r="W8" s="1008"/>
      <c r="X8" s="999" t="s">
        <v>215</v>
      </c>
      <c r="Y8" s="999" t="s">
        <v>1412</v>
      </c>
      <c r="Z8" s="1014"/>
      <c r="AA8" s="1017"/>
      <c r="AK8" s="1000" t="s">
        <v>1469</v>
      </c>
      <c r="AP8" s="1011" t="s">
        <v>215</v>
      </c>
      <c r="AQ8" s="1012" t="s">
        <v>215</v>
      </c>
      <c r="AU8" s="1041" t="s">
        <v>1470</v>
      </c>
      <c r="AW8" s="1041" t="s">
        <v>1471</v>
      </c>
      <c r="AX8" s="1041" t="s">
        <v>1471</v>
      </c>
      <c r="AZ8" s="1041" t="s">
        <v>1472</v>
      </c>
      <c r="BB8" s="1041" t="s">
        <v>1473</v>
      </c>
      <c r="BC8" s="1041" t="s">
        <v>1421</v>
      </c>
      <c r="BE8" s="1041">
        <v>2006</v>
      </c>
      <c r="BF8" s="1041" t="s">
        <v>1474</v>
      </c>
      <c r="BH8" s="992" t="s">
        <v>1475</v>
      </c>
      <c r="BJ8" s="992" t="s">
        <v>1476</v>
      </c>
      <c r="BL8" s="992" t="s">
        <v>1476</v>
      </c>
      <c r="BN8" s="992" t="s">
        <v>1477</v>
      </c>
      <c r="BQ8" s="1202">
        <v>4213776</v>
      </c>
      <c r="BR8" s="992" t="s">
        <v>197</v>
      </c>
      <c r="BS8" s="1350"/>
      <c r="BT8" s="1202">
        <v>64236874</v>
      </c>
      <c r="BU8" s="1216" t="s">
        <v>1478</v>
      </c>
      <c r="BV8" s="994"/>
      <c r="BW8" s="1616">
        <v>4213770</v>
      </c>
      <c r="BX8" s="1617" t="s">
        <v>1479</v>
      </c>
      <c r="BZ8" s="1202">
        <v>64237512</v>
      </c>
      <c r="CA8" s="992" t="s">
        <v>293</v>
      </c>
    </row>
    <row r="9" spans="1:79" ht="11.25" customHeight="1">
      <c r="A9" s="998" t="s">
        <v>1480</v>
      </c>
      <c r="B9" s="999">
        <v>2007</v>
      </c>
      <c r="E9" s="1000" t="s">
        <v>1481</v>
      </c>
      <c r="F9" s="1016"/>
      <c r="G9" s="991" t="s">
        <v>1482</v>
      </c>
      <c r="H9" s="991" t="s">
        <v>1483</v>
      </c>
      <c r="I9" s="1000" t="s">
        <v>129</v>
      </c>
      <c r="O9" s="1000" t="s">
        <v>1484</v>
      </c>
      <c r="V9" s="308" t="s">
        <v>129</v>
      </c>
      <c r="W9" s="1008"/>
      <c r="X9" s="999" t="s">
        <v>221</v>
      </c>
      <c r="Y9" s="999" t="s">
        <v>1320</v>
      </c>
      <c r="Z9" s="1014">
        <v>1</v>
      </c>
      <c r="AA9" s="1017"/>
      <c r="AK9" s="1000" t="s">
        <v>1485</v>
      </c>
      <c r="AP9" s="1011" t="s">
        <v>1486</v>
      </c>
      <c r="AQ9" s="1012" t="s">
        <v>1486</v>
      </c>
      <c r="AW9" s="1041" t="s">
        <v>1487</v>
      </c>
      <c r="AX9" s="1041" t="s">
        <v>1487</v>
      </c>
      <c r="AZ9" s="1041" t="s">
        <v>1488</v>
      </c>
      <c r="BB9" s="1041" t="s">
        <v>1489</v>
      </c>
      <c r="BC9" s="1041" t="s">
        <v>1421</v>
      </c>
      <c r="BE9" s="1041">
        <v>2007</v>
      </c>
      <c r="BF9" s="1041" t="s">
        <v>1490</v>
      </c>
      <c r="BH9" s="992" t="s">
        <v>1491</v>
      </c>
      <c r="BJ9" s="992" t="s">
        <v>1492</v>
      </c>
      <c r="BL9" s="992" t="s">
        <v>1492</v>
      </c>
      <c r="BN9" s="992" t="s">
        <v>1493</v>
      </c>
      <c r="BQ9" s="1202">
        <v>4213777</v>
      </c>
      <c r="BR9" s="992" t="s">
        <v>203</v>
      </c>
      <c r="BS9" s="1350"/>
      <c r="BT9" s="1202">
        <v>64236875</v>
      </c>
      <c r="BU9" s="992" t="s">
        <v>273</v>
      </c>
      <c r="BV9" s="994"/>
      <c r="BW9" s="1611"/>
      <c r="BX9" s="1611"/>
    </row>
    <row r="10" spans="1:79" ht="11.25" customHeight="1">
      <c r="A10" s="998" t="s">
        <v>1494</v>
      </c>
      <c r="B10" s="999">
        <v>2008</v>
      </c>
      <c r="E10" s="1000" t="s">
        <v>1495</v>
      </c>
      <c r="F10" s="1016"/>
      <c r="G10" s="1000" t="s">
        <v>1496</v>
      </c>
      <c r="H10" s="1000" t="s">
        <v>1497</v>
      </c>
      <c r="I10" s="1000" t="s">
        <v>134</v>
      </c>
      <c r="J10" s="991" t="s">
        <v>1498</v>
      </c>
      <c r="K10" s="991" t="s">
        <v>1499</v>
      </c>
      <c r="O10" s="1000" t="s">
        <v>1500</v>
      </c>
      <c r="V10" s="309" t="s">
        <v>134</v>
      </c>
      <c r="W10" s="1020"/>
      <c r="X10" s="1020" t="s">
        <v>1501</v>
      </c>
      <c r="Y10" s="1021" t="s">
        <v>1502</v>
      </c>
      <c r="Z10" s="1014"/>
      <c r="AP10" s="1011" t="s">
        <v>1501</v>
      </c>
      <c r="AQ10" s="1012" t="s">
        <v>1501</v>
      </c>
      <c r="AW10" s="1041" t="s">
        <v>1503</v>
      </c>
      <c r="AX10" s="1041" t="s">
        <v>1503</v>
      </c>
      <c r="AZ10" s="1041" t="s">
        <v>1504</v>
      </c>
      <c r="BB10" s="1041" t="s">
        <v>1505</v>
      </c>
      <c r="BC10" s="1041" t="s">
        <v>1421</v>
      </c>
      <c r="BE10" s="1041">
        <v>2008</v>
      </c>
      <c r="BF10" s="1041" t="s">
        <v>1506</v>
      </c>
      <c r="BH10" s="992" t="s">
        <v>1507</v>
      </c>
      <c r="BJ10" s="992" t="s">
        <v>1508</v>
      </c>
      <c r="BL10" s="992" t="s">
        <v>1508</v>
      </c>
      <c r="BN10" s="992" t="s">
        <v>1509</v>
      </c>
      <c r="BQ10" s="1202">
        <v>4213778</v>
      </c>
      <c r="BR10" s="992" t="s">
        <v>209</v>
      </c>
      <c r="BS10" s="1350"/>
      <c r="BT10" s="1202">
        <v>64236876</v>
      </c>
      <c r="BU10" s="992" t="s">
        <v>253</v>
      </c>
      <c r="BV10" s="994"/>
      <c r="BW10" s="1611"/>
      <c r="BX10" s="1611"/>
    </row>
    <row r="11" spans="1:79" ht="11.25" customHeight="1">
      <c r="A11" s="998" t="s">
        <v>1510</v>
      </c>
      <c r="B11" s="999">
        <v>2009</v>
      </c>
      <c r="E11" s="1000" t="s">
        <v>1511</v>
      </c>
      <c r="F11" s="1016"/>
      <c r="G11" s="1000" t="s">
        <v>1512</v>
      </c>
      <c r="H11" s="1000" t="s">
        <v>1513</v>
      </c>
      <c r="I11" s="1000" t="s">
        <v>180</v>
      </c>
      <c r="J11" s="1001" t="s">
        <v>1514</v>
      </c>
      <c r="K11" s="1022" t="s">
        <v>1515</v>
      </c>
      <c r="O11" s="1001" t="s">
        <v>1516</v>
      </c>
      <c r="V11" s="308" t="s">
        <v>180</v>
      </c>
      <c r="W11" s="213"/>
      <c r="X11" s="1008" t="s">
        <v>1486</v>
      </c>
      <c r="Y11" s="999" t="s">
        <v>1517</v>
      </c>
      <c r="Z11" s="1014"/>
      <c r="AP11" s="1011" t="s">
        <v>221</v>
      </c>
      <c r="AQ11" s="1013" t="s">
        <v>221</v>
      </c>
      <c r="AW11" s="1041" t="s">
        <v>1518</v>
      </c>
      <c r="AX11" s="1041" t="s">
        <v>1518</v>
      </c>
      <c r="AZ11" s="1041" t="s">
        <v>1519</v>
      </c>
      <c r="BB11" s="1041" t="s">
        <v>1520</v>
      </c>
      <c r="BC11" s="1041" t="s">
        <v>1421</v>
      </c>
      <c r="BE11" s="1041">
        <v>2009</v>
      </c>
      <c r="BF11" s="1041" t="s">
        <v>1521</v>
      </c>
      <c r="BH11" s="992" t="s">
        <v>1522</v>
      </c>
      <c r="BJ11" s="992" t="s">
        <v>1491</v>
      </c>
      <c r="BL11" s="992" t="s">
        <v>1491</v>
      </c>
      <c r="BN11" s="992" t="s">
        <v>1523</v>
      </c>
      <c r="BQ11" s="1202">
        <v>4213780</v>
      </c>
      <c r="BR11" s="992" t="s">
        <v>215</v>
      </c>
      <c r="BS11" s="1350"/>
      <c r="BW11" s="1611"/>
      <c r="BX11" s="1611"/>
    </row>
    <row r="12" spans="1:79" ht="11.25" customHeight="1">
      <c r="A12" s="998" t="s">
        <v>1524</v>
      </c>
      <c r="B12" s="999">
        <v>2010</v>
      </c>
      <c r="E12" s="1000" t="s">
        <v>1525</v>
      </c>
      <c r="F12" s="1016"/>
      <c r="G12" s="1000" t="s">
        <v>1513</v>
      </c>
      <c r="I12" s="1000" t="s">
        <v>181</v>
      </c>
      <c r="J12" s="1001" t="s">
        <v>1526</v>
      </c>
      <c r="K12" s="1022" t="s">
        <v>1527</v>
      </c>
      <c r="O12" s="1001" t="s">
        <v>611</v>
      </c>
      <c r="V12" s="308" t="s">
        <v>181</v>
      </c>
      <c r="W12" s="1013"/>
      <c r="X12" s="1008" t="s">
        <v>1528</v>
      </c>
      <c r="Y12" s="999" t="s">
        <v>1320</v>
      </c>
      <c r="AP12" s="1011"/>
      <c r="AW12" s="1041" t="s">
        <v>180</v>
      </c>
      <c r="AX12" s="1041" t="s">
        <v>180</v>
      </c>
      <c r="AZ12" s="1041" t="s">
        <v>1529</v>
      </c>
      <c r="BB12" s="1041" t="s">
        <v>1530</v>
      </c>
      <c r="BC12" s="1041" t="s">
        <v>1421</v>
      </c>
      <c r="BE12" s="1041">
        <v>2010</v>
      </c>
      <c r="BF12" s="1041" t="s">
        <v>1531</v>
      </c>
      <c r="BH12" s="992" t="s">
        <v>1532</v>
      </c>
      <c r="BJ12" s="992" t="s">
        <v>1533</v>
      </c>
      <c r="BL12" s="992" t="s">
        <v>1533</v>
      </c>
      <c r="BN12" s="992" t="s">
        <v>1534</v>
      </c>
      <c r="BQ12" s="1202">
        <v>4213779</v>
      </c>
      <c r="BR12" s="992" t="s">
        <v>1486</v>
      </c>
      <c r="BS12" s="1350"/>
      <c r="BT12" s="994"/>
      <c r="BU12" s="994"/>
      <c r="BV12" s="994"/>
      <c r="BW12" s="1611"/>
      <c r="BX12" s="1611"/>
    </row>
    <row r="13" spans="1:79" ht="11.25" customHeight="1">
      <c r="A13" s="998" t="s">
        <v>1535</v>
      </c>
      <c r="B13" s="999">
        <v>2011</v>
      </c>
      <c r="E13" s="1000" t="s">
        <v>1536</v>
      </c>
      <c r="F13" s="1016"/>
      <c r="I13" s="1000" t="s">
        <v>182</v>
      </c>
      <c r="K13" s="1022" t="s">
        <v>1485</v>
      </c>
      <c r="V13" s="308" t="s">
        <v>182</v>
      </c>
      <c r="W13" s="1013"/>
      <c r="X13" s="1013"/>
      <c r="Y13" s="1013"/>
      <c r="AW13" s="1041" t="s">
        <v>181</v>
      </c>
      <c r="AX13" s="1041" t="s">
        <v>181</v>
      </c>
      <c r="BB13" s="1041" t="s">
        <v>1537</v>
      </c>
      <c r="BC13" s="1041" t="s">
        <v>1538</v>
      </c>
      <c r="BE13" s="1041">
        <v>2011</v>
      </c>
      <c r="BF13" s="1041" t="s">
        <v>1539</v>
      </c>
      <c r="BH13" s="992" t="s">
        <v>1540</v>
      </c>
      <c r="BJ13" s="992" t="s">
        <v>1522</v>
      </c>
      <c r="BL13" s="992" t="s">
        <v>1522</v>
      </c>
      <c r="BN13" s="992" t="s">
        <v>1541</v>
      </c>
      <c r="BQ13" s="1202">
        <v>4213783</v>
      </c>
      <c r="BR13" s="992" t="s">
        <v>1501</v>
      </c>
      <c r="BS13" s="1350"/>
      <c r="BT13" s="994"/>
      <c r="BU13" s="994"/>
      <c r="BV13" s="994"/>
      <c r="BW13" s="1615"/>
      <c r="BX13" s="1611"/>
    </row>
    <row r="14" spans="1:79" ht="11.25" customHeight="1">
      <c r="A14" s="998" t="s">
        <v>1542</v>
      </c>
      <c r="B14" s="999">
        <v>2012</v>
      </c>
      <c r="I14" s="1000" t="s">
        <v>183</v>
      </c>
      <c r="J14" s="991" t="s">
        <v>1543</v>
      </c>
      <c r="N14" s="991" t="s">
        <v>1544</v>
      </c>
      <c r="V14" s="1007">
        <v>13</v>
      </c>
      <c r="W14" s="1008"/>
      <c r="X14" s="1008" t="s">
        <v>1352</v>
      </c>
      <c r="Y14" s="999" t="s">
        <v>1320</v>
      </c>
      <c r="AW14" s="1041" t="s">
        <v>182</v>
      </c>
      <c r="AX14" s="1041" t="s">
        <v>182</v>
      </c>
      <c r="AZ14" s="991" t="s">
        <v>1545</v>
      </c>
      <c r="BB14" s="1041" t="s">
        <v>1546</v>
      </c>
      <c r="BC14" s="1041" t="s">
        <v>1538</v>
      </c>
      <c r="BE14" s="1041">
        <v>2012</v>
      </c>
      <c r="BH14" s="992" t="s">
        <v>1461</v>
      </c>
      <c r="BJ14" s="1138" t="s">
        <v>1547</v>
      </c>
      <c r="BL14" s="1138" t="s">
        <v>1547</v>
      </c>
      <c r="BN14" s="992" t="s">
        <v>1548</v>
      </c>
      <c r="BQ14" s="1202">
        <v>4213782</v>
      </c>
      <c r="BR14" s="992" t="s">
        <v>221</v>
      </c>
      <c r="BS14" s="1350"/>
      <c r="BT14" s="994"/>
      <c r="BU14" s="994"/>
      <c r="BV14" s="994"/>
      <c r="BW14" s="1615"/>
      <c r="BX14" s="1611"/>
    </row>
    <row r="15" spans="1:79" ht="19.5" customHeight="1">
      <c r="A15" s="998" t="s">
        <v>1549</v>
      </c>
      <c r="B15" s="999">
        <v>2013</v>
      </c>
      <c r="E15" s="1619" t="s">
        <v>1550</v>
      </c>
      <c r="G15" s="991" t="s">
        <v>1551</v>
      </c>
      <c r="H15" s="991" t="s">
        <v>1552</v>
      </c>
      <c r="I15" s="1002" t="s">
        <v>184</v>
      </c>
      <c r="J15" s="1013" t="s">
        <v>675</v>
      </c>
      <c r="N15" s="1079" t="s">
        <v>1553</v>
      </c>
      <c r="X15" s="1011"/>
      <c r="AW15" s="1041" t="s">
        <v>183</v>
      </c>
      <c r="AX15" s="1041" t="s">
        <v>183</v>
      </c>
      <c r="AZ15" s="1041" t="s">
        <v>1472</v>
      </c>
      <c r="BB15" s="1041" t="s">
        <v>1554</v>
      </c>
      <c r="BC15" s="1041" t="s">
        <v>1538</v>
      </c>
      <c r="BE15" s="1041">
        <v>2013</v>
      </c>
      <c r="BH15" s="992" t="s">
        <v>1477</v>
      </c>
      <c r="BJ15" s="1138" t="s">
        <v>1555</v>
      </c>
      <c r="BL15" s="1138" t="s">
        <v>1555</v>
      </c>
      <c r="BN15" s="992" t="s">
        <v>1556</v>
      </c>
      <c r="BR15" s="994"/>
      <c r="BS15" s="1352"/>
      <c r="BT15" s="994"/>
      <c r="BU15" s="994"/>
      <c r="BV15" s="994"/>
      <c r="BW15" s="1615"/>
      <c r="BX15" s="1611"/>
    </row>
    <row r="16" spans="1:79" ht="21" customHeight="1">
      <c r="A16" s="1788" t="s">
        <v>1557</v>
      </c>
      <c r="B16" s="999">
        <v>2014</v>
      </c>
      <c r="E16" s="1620" t="s">
        <v>1558</v>
      </c>
      <c r="G16" s="1000" t="s">
        <v>1559</v>
      </c>
      <c r="H16" s="1000" t="s">
        <v>1560</v>
      </c>
      <c r="I16" s="1002" t="s">
        <v>1561</v>
      </c>
      <c r="J16" s="1013" t="s">
        <v>648</v>
      </c>
      <c r="N16" s="1079" t="s">
        <v>1562</v>
      </c>
      <c r="AW16" s="1041" t="s">
        <v>184</v>
      </c>
      <c r="AX16" s="1041" t="s">
        <v>184</v>
      </c>
      <c r="AZ16" s="1041" t="s">
        <v>1488</v>
      </c>
      <c r="BB16" s="1041" t="s">
        <v>1563</v>
      </c>
      <c r="BC16" s="1041" t="s">
        <v>1538</v>
      </c>
      <c r="BE16" s="1041">
        <v>2014</v>
      </c>
      <c r="BH16" s="992" t="s">
        <v>1493</v>
      </c>
      <c r="BJ16" s="1138" t="s">
        <v>1564</v>
      </c>
      <c r="BL16" s="1138" t="s">
        <v>1564</v>
      </c>
      <c r="BN16" s="992" t="s">
        <v>1565</v>
      </c>
      <c r="BR16" s="994"/>
      <c r="BS16" s="1352"/>
      <c r="BT16" s="994"/>
      <c r="BU16" s="994"/>
      <c r="BV16" s="994"/>
      <c r="BW16" s="1615"/>
      <c r="BX16" s="1611"/>
    </row>
    <row r="17" spans="1:82" ht="21" customHeight="1">
      <c r="A17" s="998" t="s">
        <v>1566</v>
      </c>
      <c r="B17" s="999">
        <v>2015</v>
      </c>
      <c r="G17" s="1000" t="s">
        <v>1513</v>
      </c>
      <c r="H17" s="1000" t="s">
        <v>1513</v>
      </c>
      <c r="I17" s="1000" t="s">
        <v>110</v>
      </c>
      <c r="N17" s="1079" t="s">
        <v>1567</v>
      </c>
      <c r="X17" s="1011"/>
      <c r="AW17" s="1041" t="s">
        <v>1561</v>
      </c>
      <c r="AX17" s="1041" t="s">
        <v>1561</v>
      </c>
      <c r="AZ17" s="1041" t="s">
        <v>1568</v>
      </c>
      <c r="BB17" s="1041" t="s">
        <v>1569</v>
      </c>
      <c r="BC17" s="1041" t="s">
        <v>1421</v>
      </c>
      <c r="BE17" s="1041">
        <v>2015</v>
      </c>
      <c r="BH17" s="992" t="s">
        <v>1509</v>
      </c>
      <c r="BJ17" s="1138" t="s">
        <v>1570</v>
      </c>
      <c r="BL17" s="1138" t="s">
        <v>1570</v>
      </c>
      <c r="BN17" s="992" t="s">
        <v>1571</v>
      </c>
      <c r="BR17" s="991" t="s">
        <v>1363</v>
      </c>
      <c r="BS17" s="1349"/>
      <c r="BU17" s="991" t="s">
        <v>1572</v>
      </c>
      <c r="BV17" s="994"/>
      <c r="BW17" s="1611"/>
      <c r="BX17" s="1613" t="s">
        <v>1573</v>
      </c>
      <c r="CA17" s="991" t="s">
        <v>1574</v>
      </c>
      <c r="CD17" s="991" t="s">
        <v>1575</v>
      </c>
    </row>
    <row r="18" spans="1:82" ht="21" customHeight="1">
      <c r="A18" s="998" t="s">
        <v>1576</v>
      </c>
      <c r="B18" s="999">
        <v>2016</v>
      </c>
      <c r="E18" s="1920" t="s">
        <v>1577</v>
      </c>
      <c r="I18" s="1000" t="s">
        <v>1578</v>
      </c>
      <c r="N18" s="1079" t="s">
        <v>1579</v>
      </c>
      <c r="X18" s="1011"/>
      <c r="AW18" s="1041" t="s">
        <v>110</v>
      </c>
      <c r="AX18" s="1041" t="s">
        <v>110</v>
      </c>
      <c r="BB18" s="1041" t="s">
        <v>1580</v>
      </c>
      <c r="BC18" s="1041" t="s">
        <v>1421</v>
      </c>
      <c r="BE18" s="1041">
        <v>2016</v>
      </c>
      <c r="BH18" s="992" t="s">
        <v>1523</v>
      </c>
      <c r="BJ18" s="1138" t="s">
        <v>1581</v>
      </c>
      <c r="BL18" s="1138" t="s">
        <v>1581</v>
      </c>
      <c r="BN18" s="992" t="s">
        <v>1582</v>
      </c>
      <c r="BQ18" s="1353" t="s">
        <v>1393</v>
      </c>
      <c r="BR18" s="1080" t="s">
        <v>1394</v>
      </c>
      <c r="BS18" s="212"/>
      <c r="BT18" s="1353" t="s">
        <v>1583</v>
      </c>
      <c r="BU18" s="1080" t="s">
        <v>1584</v>
      </c>
      <c r="BV18" s="994"/>
      <c r="BW18" s="1618" t="s">
        <v>1585</v>
      </c>
      <c r="BX18" s="1612" t="s">
        <v>1586</v>
      </c>
      <c r="BZ18" s="1353" t="s">
        <v>1587</v>
      </c>
      <c r="CA18" s="1080" t="s">
        <v>1588</v>
      </c>
      <c r="CC18" s="1353" t="s">
        <v>1589</v>
      </c>
      <c r="CD18" s="1080" t="s">
        <v>1590</v>
      </c>
    </row>
    <row r="19" spans="1:82" ht="21" customHeight="1">
      <c r="A19" s="1788" t="s">
        <v>1591</v>
      </c>
      <c r="B19" s="999">
        <v>2017</v>
      </c>
      <c r="E19" s="998" t="s">
        <v>196</v>
      </c>
      <c r="I19" s="1000" t="s">
        <v>1592</v>
      </c>
      <c r="N19" s="1079" t="s">
        <v>1593</v>
      </c>
      <c r="X19" s="1011"/>
      <c r="AW19" s="1041" t="s">
        <v>1578</v>
      </c>
      <c r="AX19" s="1041" t="s">
        <v>1578</v>
      </c>
      <c r="AZ19" s="991" t="s">
        <v>1594</v>
      </c>
      <c r="BB19" s="1041" t="s">
        <v>1595</v>
      </c>
      <c r="BC19" s="1041" t="s">
        <v>1421</v>
      </c>
      <c r="BE19" s="1041">
        <v>2017</v>
      </c>
      <c r="BH19" s="992" t="s">
        <v>1596</v>
      </c>
      <c r="BJ19" s="1138" t="s">
        <v>1597</v>
      </c>
      <c r="BL19" s="1138" t="s">
        <v>1597</v>
      </c>
      <c r="BQ19" s="1202">
        <v>4190064</v>
      </c>
      <c r="BR19" s="992" t="s">
        <v>1598</v>
      </c>
      <c r="BS19" s="1350"/>
      <c r="BT19" s="1202">
        <v>4189671</v>
      </c>
      <c r="BU19" s="992" t="s">
        <v>1599</v>
      </c>
      <c r="BV19" s="994"/>
      <c r="BW19" s="1616">
        <v>4189706</v>
      </c>
      <c r="BX19" s="1614" t="s">
        <v>1600</v>
      </c>
      <c r="BZ19" s="1202">
        <v>4189714</v>
      </c>
      <c r="CA19" s="992" t="s">
        <v>1601</v>
      </c>
      <c r="CC19" s="1202">
        <v>4189708</v>
      </c>
      <c r="CD19" s="992" t="s">
        <v>1602</v>
      </c>
    </row>
    <row r="20" spans="1:82" ht="21" customHeight="1">
      <c r="A20" s="998" t="s">
        <v>1603</v>
      </c>
      <c r="B20" s="999">
        <v>2018</v>
      </c>
      <c r="E20" s="998" t="s">
        <v>1352</v>
      </c>
      <c r="I20" s="1000" t="s">
        <v>1604</v>
      </c>
      <c r="N20" s="1079" t="s">
        <v>1605</v>
      </c>
      <c r="AW20" s="1041" t="s">
        <v>1592</v>
      </c>
      <c r="AX20" s="1041" t="s">
        <v>1592</v>
      </c>
      <c r="AZ20" s="1041" t="s">
        <v>1606</v>
      </c>
      <c r="BB20" s="1041" t="s">
        <v>1607</v>
      </c>
      <c r="BC20" s="1041" t="s">
        <v>1538</v>
      </c>
      <c r="BE20" s="1041">
        <v>2018</v>
      </c>
      <c r="BH20" s="992" t="s">
        <v>1534</v>
      </c>
      <c r="BJ20" s="992" t="s">
        <v>1461</v>
      </c>
      <c r="BL20" s="992" t="s">
        <v>1461</v>
      </c>
      <c r="BQ20" s="1202">
        <v>4190065</v>
      </c>
      <c r="BR20" s="992" t="s">
        <v>1608</v>
      </c>
      <c r="BS20" s="1350"/>
      <c r="BT20" s="1202">
        <v>4189672</v>
      </c>
      <c r="BU20" s="992" t="s">
        <v>1609</v>
      </c>
      <c r="BV20" s="994"/>
      <c r="BW20" s="1616">
        <v>4189705</v>
      </c>
      <c r="BX20" s="1614" t="s">
        <v>1610</v>
      </c>
      <c r="BZ20" s="1202">
        <v>4189713</v>
      </c>
      <c r="CA20" s="992" t="s">
        <v>1610</v>
      </c>
      <c r="CC20" s="1202">
        <v>4189709</v>
      </c>
      <c r="CD20" s="992" t="s">
        <v>1611</v>
      </c>
    </row>
    <row r="21" spans="1:82" ht="21" customHeight="1">
      <c r="A21" s="998" t="s">
        <v>1612</v>
      </c>
      <c r="B21" s="999">
        <v>2019</v>
      </c>
      <c r="I21" s="1000" t="s">
        <v>1613</v>
      </c>
      <c r="N21" s="1079" t="s">
        <v>1614</v>
      </c>
      <c r="AW21" s="1041" t="s">
        <v>1604</v>
      </c>
      <c r="AX21" s="1041" t="s">
        <v>1604</v>
      </c>
      <c r="AZ21" s="1041" t="s">
        <v>1615</v>
      </c>
      <c r="BB21" s="1041" t="s">
        <v>1616</v>
      </c>
      <c r="BC21" s="1041" t="s">
        <v>1421</v>
      </c>
      <c r="BE21" s="1041">
        <v>2019</v>
      </c>
      <c r="BH21" s="992" t="s">
        <v>1541</v>
      </c>
      <c r="BJ21" s="992" t="s">
        <v>1477</v>
      </c>
      <c r="BL21" s="992" t="s">
        <v>1477</v>
      </c>
      <c r="BQ21" s="1202">
        <v>4190066</v>
      </c>
      <c r="BR21" s="992" t="s">
        <v>1617</v>
      </c>
      <c r="BS21" s="1350"/>
      <c r="BT21" s="1202">
        <v>4189673</v>
      </c>
      <c r="BU21" s="992" t="s">
        <v>1618</v>
      </c>
      <c r="BV21" s="994"/>
      <c r="BW21" s="1616">
        <v>4189707</v>
      </c>
      <c r="BX21" s="1614" t="s">
        <v>1619</v>
      </c>
      <c r="BZ21" s="1202">
        <v>4189712</v>
      </c>
      <c r="CA21" s="992" t="s">
        <v>1620</v>
      </c>
      <c r="CC21" s="1202">
        <v>4189710</v>
      </c>
      <c r="CD21" s="992" t="s">
        <v>1621</v>
      </c>
    </row>
    <row r="22" spans="1:82" ht="21" customHeight="1">
      <c r="A22" s="998" t="s">
        <v>1622</v>
      </c>
      <c r="B22" s="999">
        <v>2020</v>
      </c>
      <c r="N22" s="1079" t="s">
        <v>1623</v>
      </c>
      <c r="AW22" s="1041" t="s">
        <v>1613</v>
      </c>
      <c r="AX22" s="1041" t="s">
        <v>1613</v>
      </c>
      <c r="AZ22" s="1041" t="s">
        <v>1624</v>
      </c>
      <c r="BB22" s="1041" t="s">
        <v>1625</v>
      </c>
      <c r="BC22" s="1041" t="s">
        <v>1421</v>
      </c>
      <c r="BE22" s="1041">
        <v>2020</v>
      </c>
      <c r="BH22" s="992" t="s">
        <v>1548</v>
      </c>
      <c r="BJ22" s="992" t="s">
        <v>1493</v>
      </c>
      <c r="BL22" s="992" t="s">
        <v>1493</v>
      </c>
      <c r="BQ22" s="1202">
        <v>4190067</v>
      </c>
      <c r="BR22" s="992" t="s">
        <v>1626</v>
      </c>
      <c r="BS22" s="1350"/>
      <c r="BT22" s="1202">
        <v>4189674</v>
      </c>
      <c r="BU22" s="992" t="s">
        <v>1627</v>
      </c>
      <c r="BV22" s="994"/>
      <c r="BW22" s="994"/>
      <c r="CC22" s="1202">
        <v>4189711</v>
      </c>
      <c r="CD22" s="992" t="s">
        <v>386</v>
      </c>
    </row>
    <row r="23" spans="1:82" ht="21" customHeight="1">
      <c r="A23" s="998" t="s">
        <v>1628</v>
      </c>
      <c r="B23" s="999">
        <v>2021</v>
      </c>
      <c r="AW23" s="1041" t="s">
        <v>1629</v>
      </c>
      <c r="AX23" s="1041" t="s">
        <v>1629</v>
      </c>
      <c r="AZ23" s="1041" t="s">
        <v>1630</v>
      </c>
      <c r="BB23" s="1041" t="s">
        <v>1631</v>
      </c>
      <c r="BC23" s="1041" t="s">
        <v>1331</v>
      </c>
      <c r="BE23" s="1041">
        <v>2021</v>
      </c>
      <c r="BH23" s="992" t="s">
        <v>1556</v>
      </c>
      <c r="BJ23" s="992" t="s">
        <v>1509</v>
      </c>
      <c r="BL23" s="992" t="s">
        <v>1509</v>
      </c>
      <c r="BQ23" s="1202">
        <v>4190068</v>
      </c>
      <c r="BR23" s="992" t="s">
        <v>1632</v>
      </c>
      <c r="BS23" s="1350"/>
      <c r="BT23" s="1202">
        <v>4189675</v>
      </c>
      <c r="BU23" s="992" t="s">
        <v>1633</v>
      </c>
      <c r="BV23" s="994"/>
      <c r="BW23" s="994"/>
      <c r="CC23" s="1202">
        <v>5110778</v>
      </c>
      <c r="CD23" s="992" t="s">
        <v>1634</v>
      </c>
    </row>
    <row r="24" spans="1:82" ht="21" customHeight="1">
      <c r="A24" s="998" t="s">
        <v>1635</v>
      </c>
      <c r="B24" s="999">
        <v>2022</v>
      </c>
      <c r="AW24" s="1041" t="s">
        <v>1636</v>
      </c>
      <c r="AX24" s="1041" t="s">
        <v>1636</v>
      </c>
      <c r="AZ24" s="1041" t="s">
        <v>1637</v>
      </c>
      <c r="BB24" s="1041" t="s">
        <v>1638</v>
      </c>
      <c r="BC24" s="1041" t="s">
        <v>1639</v>
      </c>
      <c r="BE24" s="1041">
        <v>2022</v>
      </c>
      <c r="BH24" s="992" t="s">
        <v>1565</v>
      </c>
      <c r="BJ24" s="992" t="s">
        <v>1523</v>
      </c>
      <c r="BL24" s="992" t="s">
        <v>1523</v>
      </c>
      <c r="BQ24" s="1202">
        <v>4190069</v>
      </c>
      <c r="BR24" s="992" t="s">
        <v>1640</v>
      </c>
      <c r="BS24" s="1350"/>
      <c r="BT24" s="1202">
        <v>4189676</v>
      </c>
      <c r="BU24" s="992" t="s">
        <v>1641</v>
      </c>
      <c r="BV24" s="994"/>
      <c r="BW24" s="994"/>
      <c r="CC24" s="1202">
        <v>25575374</v>
      </c>
      <c r="CD24" s="992" t="s">
        <v>1642</v>
      </c>
    </row>
    <row r="25" spans="1:82" ht="11.25" customHeight="1">
      <c r="A25" s="998" t="s">
        <v>1643</v>
      </c>
      <c r="B25" s="999">
        <v>2023</v>
      </c>
      <c r="AW25" s="1041" t="s">
        <v>1644</v>
      </c>
      <c r="AX25" s="1041" t="s">
        <v>1644</v>
      </c>
      <c r="AZ25" s="1041" t="s">
        <v>1645</v>
      </c>
      <c r="BB25" s="1041" t="s">
        <v>1646</v>
      </c>
      <c r="BC25" s="1041" t="s">
        <v>1639</v>
      </c>
      <c r="BE25" s="1041">
        <v>2023</v>
      </c>
      <c r="BH25" s="992" t="s">
        <v>1571</v>
      </c>
      <c r="BJ25" s="992" t="s">
        <v>1596</v>
      </c>
      <c r="BL25" s="992" t="s">
        <v>1596</v>
      </c>
      <c r="BQ25" s="1202">
        <v>4190070</v>
      </c>
      <c r="BR25" s="992" t="s">
        <v>1647</v>
      </c>
      <c r="BS25" s="1350"/>
      <c r="BT25" s="1202">
        <v>4189677</v>
      </c>
      <c r="BU25" s="992" t="s">
        <v>1648</v>
      </c>
      <c r="BV25" s="994"/>
      <c r="BW25" s="994"/>
    </row>
    <row r="26" spans="1:82" ht="11.25" customHeight="1">
      <c r="A26" s="998" t="s">
        <v>1649</v>
      </c>
      <c r="B26" s="999">
        <v>2024</v>
      </c>
      <c r="J26" s="1651" t="s">
        <v>1650</v>
      </c>
      <c r="AX26" s="1041" t="s">
        <v>1651</v>
      </c>
      <c r="AZ26" s="1041" t="s">
        <v>1516</v>
      </c>
      <c r="BB26" s="1041" t="s">
        <v>1652</v>
      </c>
      <c r="BC26" s="1041" t="s">
        <v>1639</v>
      </c>
      <c r="BE26" s="1041">
        <v>2024</v>
      </c>
      <c r="BH26" s="992" t="s">
        <v>1582</v>
      </c>
      <c r="BJ26" s="992" t="s">
        <v>1534</v>
      </c>
      <c r="BL26" s="992" t="s">
        <v>1534</v>
      </c>
      <c r="BQ26" s="1202">
        <v>4190071</v>
      </c>
      <c r="BR26" s="992" t="s">
        <v>1653</v>
      </c>
      <c r="BS26" s="1350"/>
      <c r="BV26" s="994"/>
      <c r="BW26" s="994"/>
    </row>
    <row r="27" spans="1:82" ht="11.25" customHeight="1">
      <c r="A27" s="998" t="s">
        <v>1654</v>
      </c>
      <c r="B27" s="999">
        <v>2025</v>
      </c>
      <c r="J27" s="114" t="s">
        <v>104</v>
      </c>
      <c r="AX27" s="1041" t="s">
        <v>1655</v>
      </c>
      <c r="BB27" s="1041" t="s">
        <v>1656</v>
      </c>
      <c r="BC27" s="1041" t="s">
        <v>1639</v>
      </c>
      <c r="BE27" s="1041">
        <v>2025</v>
      </c>
      <c r="BH27" s="994" t="s">
        <v>28</v>
      </c>
      <c r="BJ27" s="992" t="s">
        <v>1541</v>
      </c>
      <c r="BL27" s="992" t="s">
        <v>1541</v>
      </c>
      <c r="BN27" s="994" t="s">
        <v>28</v>
      </c>
      <c r="BQ27" s="1202">
        <v>4190072</v>
      </c>
      <c r="BR27" s="992" t="s">
        <v>1657</v>
      </c>
      <c r="BS27" s="1350"/>
      <c r="BV27" s="994"/>
      <c r="BW27" s="994"/>
    </row>
    <row r="28" spans="1:82" ht="11.25" customHeight="1">
      <c r="A28" s="998" t="s">
        <v>1658</v>
      </c>
      <c r="D28" s="1023"/>
      <c r="E28" s="1024"/>
      <c r="F28" s="1024"/>
      <c r="H28" s="1025" t="s">
        <v>1659</v>
      </c>
      <c r="AX28" s="1041" t="s">
        <v>1660</v>
      </c>
      <c r="AZ28" s="991" t="s">
        <v>1661</v>
      </c>
      <c r="BB28" s="1041" t="s">
        <v>1662</v>
      </c>
      <c r="BC28" s="1041" t="s">
        <v>1663</v>
      </c>
      <c r="BE28" s="1041">
        <v>2026</v>
      </c>
      <c r="BH28" s="994" t="s">
        <v>28</v>
      </c>
      <c r="BJ28" s="992" t="s">
        <v>1548</v>
      </c>
      <c r="BL28" s="992" t="s">
        <v>1548</v>
      </c>
      <c r="BN28" s="994" t="s">
        <v>28</v>
      </c>
      <c r="BQ28" s="1202">
        <v>4190073</v>
      </c>
      <c r="BR28" s="992" t="s">
        <v>1664</v>
      </c>
      <c r="BS28" s="1350"/>
      <c r="BV28" s="994"/>
      <c r="BW28" s="994"/>
    </row>
    <row r="29" spans="1:82" ht="11.25" customHeight="1">
      <c r="A29" s="998" t="s">
        <v>1665</v>
      </c>
      <c r="D29" s="1026" t="s">
        <v>1666</v>
      </c>
      <c r="E29" s="1027" t="str">
        <f>IF(TEMPLATE_GROUP="","",INDEX(StartDateList,MATCH(TEMPLATE_GROUP,CodeTemplateList,0),1))</f>
        <v>01.01.2025</v>
      </c>
      <c r="F29" s="1027" t="str">
        <f>IF(TEMPLATE_GROUP="","",INDEX(EndDateList,MATCH(TEMPLATE_GROUP,CodeTemplateList,0),1))</f>
        <v>31.12.2028</v>
      </c>
      <c r="H29" s="1028" t="s">
        <v>1667</v>
      </c>
      <c r="AX29" s="1041" t="s">
        <v>1668</v>
      </c>
      <c r="AZ29" s="1041" t="s">
        <v>1315</v>
      </c>
      <c r="BB29" s="1041" t="s">
        <v>1516</v>
      </c>
      <c r="BC29" s="1014"/>
      <c r="BE29" s="1041">
        <v>2027</v>
      </c>
      <c r="BJ29" s="992" t="s">
        <v>1556</v>
      </c>
      <c r="BL29" s="992" t="s">
        <v>1556</v>
      </c>
    </row>
    <row r="30" spans="1:82" ht="11.25" customHeight="1">
      <c r="A30" s="998" t="s">
        <v>1669</v>
      </c>
      <c r="D30" s="1029"/>
      <c r="E30" s="1030"/>
      <c r="F30" s="1030"/>
      <c r="AX30" s="1041" t="s">
        <v>1670</v>
      </c>
      <c r="AZ30" s="1041" t="s">
        <v>1341</v>
      </c>
      <c r="BE30" s="1041">
        <v>2028</v>
      </c>
      <c r="BJ30" s="992" t="s">
        <v>1671</v>
      </c>
      <c r="BL30" s="992" t="s">
        <v>1671</v>
      </c>
    </row>
    <row r="31" spans="1:82" ht="12.75" customHeight="1">
      <c r="A31" s="998" t="s">
        <v>1672</v>
      </c>
      <c r="D31" s="1023"/>
      <c r="E31" s="1024"/>
      <c r="F31" s="1024"/>
      <c r="H31" s="1031"/>
      <c r="AX31" s="1041" t="s">
        <v>1673</v>
      </c>
      <c r="AZ31" s="1041" t="s">
        <v>612</v>
      </c>
      <c r="BE31" s="1041">
        <v>2029</v>
      </c>
      <c r="BJ31" s="992" t="s">
        <v>1674</v>
      </c>
      <c r="BL31" s="992" t="s">
        <v>1674</v>
      </c>
    </row>
    <row r="32" spans="1:82" ht="11.25" customHeight="1">
      <c r="A32" s="998" t="s">
        <v>1675</v>
      </c>
      <c r="D32" s="1026" t="s">
        <v>1676</v>
      </c>
      <c r="E32" s="1027" t="str">
        <f>IF(TEMPLATE_GROUP="","",INDEX(StartDateList,MATCH(TEMPLATE_GROUP,CodeTemplateList,0),1))</f>
        <v>01.01.2025</v>
      </c>
      <c r="F32" s="1027" t="str">
        <f>IF(TEMPLATE_GROUP="","",INDEX(EndDateList,MATCH(TEMPLATE_GROUP,CodeTemplateList,0),1))</f>
        <v>31.12.2028</v>
      </c>
      <c r="H32" s="1032" t="s">
        <v>1677</v>
      </c>
      <c r="O32" s="998" t="s">
        <v>1313</v>
      </c>
      <c r="AX32" s="1041" t="s">
        <v>1678</v>
      </c>
      <c r="AZ32" s="1041" t="s">
        <v>1409</v>
      </c>
      <c r="BE32" s="1041">
        <v>2030</v>
      </c>
      <c r="BJ32" s="992" t="s">
        <v>1565</v>
      </c>
      <c r="BL32" s="992" t="s">
        <v>1565</v>
      </c>
    </row>
    <row r="33" spans="1:66" ht="11.25" customHeight="1">
      <c r="A33" s="998" t="s">
        <v>1679</v>
      </c>
      <c r="O33" s="998" t="s">
        <v>1339</v>
      </c>
      <c r="AX33" s="1041" t="s">
        <v>1680</v>
      </c>
      <c r="AZ33" s="1041" t="s">
        <v>611</v>
      </c>
      <c r="BE33" s="1041">
        <v>2031</v>
      </c>
      <c r="BJ33" s="992" t="s">
        <v>1571</v>
      </c>
      <c r="BL33" s="992" t="s">
        <v>1571</v>
      </c>
    </row>
    <row r="34" spans="1:66" ht="11.25" customHeight="1">
      <c r="A34" s="998" t="s">
        <v>1681</v>
      </c>
      <c r="O34" s="998" t="s">
        <v>1374</v>
      </c>
      <c r="AX34" s="1041" t="s">
        <v>1682</v>
      </c>
      <c r="BE34" s="1041">
        <v>2032</v>
      </c>
      <c r="BJ34" s="992" t="s">
        <v>1582</v>
      </c>
      <c r="BL34" s="992" t="s">
        <v>1582</v>
      </c>
    </row>
    <row r="35" spans="1:66" ht="11.25" customHeight="1">
      <c r="A35" s="998" t="s">
        <v>1683</v>
      </c>
      <c r="O35" s="998" t="s">
        <v>1407</v>
      </c>
      <c r="AX35" s="1041" t="s">
        <v>1684</v>
      </c>
      <c r="AZ35" s="991" t="s">
        <v>1685</v>
      </c>
      <c r="BE35" s="1041">
        <v>2033</v>
      </c>
      <c r="BL35" s="992" t="s">
        <v>1686</v>
      </c>
    </row>
    <row r="36" spans="1:66" ht="11.25" customHeight="1">
      <c r="A36" s="1788" t="s">
        <v>1687</v>
      </c>
      <c r="D36" s="1033" t="s">
        <v>1688</v>
      </c>
      <c r="E36" s="1034" t="s">
        <v>998</v>
      </c>
      <c r="F36" s="1035" t="str">
        <f>INDEX(E37:E41,MATCH(TEMPLATE_SPHERE,F37:F41,0))</f>
        <v>водоотведения</v>
      </c>
      <c r="G36" s="1035" t="str">
        <f>INDEX(G37:G41,MATCH(TEMPLATE_SPHERE,F37:F41,0))</f>
        <v>водоотведение</v>
      </c>
      <c r="O36" s="998" t="s">
        <v>1432</v>
      </c>
      <c r="AX36" s="1041" t="s">
        <v>1689</v>
      </c>
      <c r="AZ36" s="1041" t="s">
        <v>611</v>
      </c>
      <c r="BE36" s="1041">
        <v>2034</v>
      </c>
      <c r="BL36" s="992" t="s">
        <v>1690</v>
      </c>
    </row>
    <row r="37" spans="1:66" ht="11.25" customHeight="1">
      <c r="A37" s="998" t="s">
        <v>1691</v>
      </c>
      <c r="E37" s="345" t="s">
        <v>1692</v>
      </c>
      <c r="F37" s="1036" t="s">
        <v>899</v>
      </c>
      <c r="G37" s="345" t="s">
        <v>1693</v>
      </c>
      <c r="O37" s="998" t="s">
        <v>1451</v>
      </c>
      <c r="AX37" s="1041" t="s">
        <v>1694</v>
      </c>
      <c r="AZ37" s="1041" t="s">
        <v>1340</v>
      </c>
      <c r="BE37" s="1041">
        <v>2035</v>
      </c>
    </row>
    <row r="38" spans="1:66" ht="11.25" customHeight="1">
      <c r="A38" s="998" t="s">
        <v>1695</v>
      </c>
      <c r="E38" s="345" t="s">
        <v>1696</v>
      </c>
      <c r="F38" s="1037" t="s">
        <v>945</v>
      </c>
      <c r="G38" s="345" t="s">
        <v>1697</v>
      </c>
      <c r="O38" s="998" t="s">
        <v>1468</v>
      </c>
      <c r="AX38" s="1041" t="s">
        <v>1698</v>
      </c>
      <c r="AZ38" s="1041" t="s">
        <v>1375</v>
      </c>
      <c r="BE38" s="1041">
        <v>2036</v>
      </c>
      <c r="BH38" s="991" t="s">
        <v>1699</v>
      </c>
      <c r="BJ38" s="991" t="s">
        <v>1700</v>
      </c>
      <c r="BL38" s="991" t="s">
        <v>1701</v>
      </c>
      <c r="BN38" s="991" t="s">
        <v>1702</v>
      </c>
    </row>
    <row r="39" spans="1:66" ht="11.25" customHeight="1">
      <c r="A39" s="998" t="s">
        <v>1703</v>
      </c>
      <c r="E39" s="345" t="s">
        <v>1704</v>
      </c>
      <c r="F39" s="1037" t="s">
        <v>998</v>
      </c>
      <c r="G39" s="345" t="s">
        <v>1705</v>
      </c>
      <c r="O39" s="998" t="s">
        <v>1484</v>
      </c>
      <c r="AX39" s="1041" t="s">
        <v>1706</v>
      </c>
      <c r="AZ39" s="1041" t="s">
        <v>1408</v>
      </c>
      <c r="BE39" s="1041">
        <v>2037</v>
      </c>
      <c r="BH39" s="992" t="s">
        <v>1707</v>
      </c>
      <c r="BJ39" s="1138" t="s">
        <v>1707</v>
      </c>
      <c r="BL39" s="1138" t="s">
        <v>1707</v>
      </c>
      <c r="BN39" s="992" t="s">
        <v>1708</v>
      </c>
    </row>
    <row r="40" spans="1:66" ht="11.25" customHeight="1">
      <c r="A40" s="998" t="s">
        <v>1709</v>
      </c>
      <c r="E40" s="345" t="s">
        <v>1710</v>
      </c>
      <c r="F40" s="1037" t="s">
        <v>985</v>
      </c>
      <c r="G40" s="345" t="s">
        <v>1711</v>
      </c>
      <c r="O40" s="998" t="s">
        <v>1500</v>
      </c>
      <c r="AX40" s="1041" t="s">
        <v>1712</v>
      </c>
      <c r="BE40" s="1041">
        <v>2038</v>
      </c>
      <c r="BH40" s="992" t="s">
        <v>1713</v>
      </c>
      <c r="BJ40" s="1138" t="s">
        <v>1118</v>
      </c>
      <c r="BL40" s="1138" t="s">
        <v>1118</v>
      </c>
      <c r="BN40" s="992" t="s">
        <v>1152</v>
      </c>
    </row>
    <row r="41" spans="1:66" ht="11.25" customHeight="1">
      <c r="A41" s="998" t="s">
        <v>1714</v>
      </c>
      <c r="E41" s="345" t="s">
        <v>1715</v>
      </c>
      <c r="F41" s="1037" t="s">
        <v>1716</v>
      </c>
      <c r="G41" s="345" t="s">
        <v>1715</v>
      </c>
      <c r="O41" s="998" t="s">
        <v>1516</v>
      </c>
      <c r="AX41" s="1041" t="s">
        <v>1717</v>
      </c>
      <c r="AZ41" s="991" t="s">
        <v>1718</v>
      </c>
      <c r="BE41" s="1041">
        <v>2039</v>
      </c>
      <c r="BH41" s="992" t="s">
        <v>1719</v>
      </c>
      <c r="BJ41" s="1138" t="s">
        <v>1114</v>
      </c>
      <c r="BL41" s="1138" t="s">
        <v>1114</v>
      </c>
      <c r="BN41" s="992" t="s">
        <v>1139</v>
      </c>
    </row>
    <row r="42" spans="1:66" ht="11.25" customHeight="1">
      <c r="A42" s="998" t="s">
        <v>1720</v>
      </c>
      <c r="AX42" s="1041" t="s">
        <v>1721</v>
      </c>
      <c r="AZ42" s="1041" t="s">
        <v>1313</v>
      </c>
      <c r="BE42" s="1041">
        <v>2040</v>
      </c>
      <c r="BH42" s="992" t="s">
        <v>1136</v>
      </c>
      <c r="BJ42" s="1138" t="s">
        <v>1116</v>
      </c>
      <c r="BL42" s="1138" t="s">
        <v>1116</v>
      </c>
      <c r="BN42" s="992" t="s">
        <v>1722</v>
      </c>
    </row>
    <row r="43" spans="1:66" ht="11.25" customHeight="1">
      <c r="A43" s="998" t="s">
        <v>1723</v>
      </c>
      <c r="AX43" s="1041" t="s">
        <v>1724</v>
      </c>
      <c r="AZ43" s="1041" t="s">
        <v>1339</v>
      </c>
      <c r="BE43" s="1041">
        <v>2041</v>
      </c>
      <c r="BH43" s="992" t="s">
        <v>1725</v>
      </c>
      <c r="BJ43" s="1138" t="s">
        <v>1719</v>
      </c>
      <c r="BL43" s="1138" t="s">
        <v>1719</v>
      </c>
      <c r="BN43" s="992" t="s">
        <v>1726</v>
      </c>
    </row>
    <row r="44" spans="1:66" ht="11.25" customHeight="1">
      <c r="A44" s="998" t="s">
        <v>1727</v>
      </c>
      <c r="G44" s="1017">
        <f ca="1">YEAR(TODAY())</f>
        <v>2024</v>
      </c>
      <c r="I44" s="731" t="s">
        <v>1728</v>
      </c>
      <c r="J44" s="1013" t="s">
        <v>1729</v>
      </c>
      <c r="K44" s="1013" t="s">
        <v>1730</v>
      </c>
      <c r="AX44" s="1041" t="s">
        <v>1731</v>
      </c>
      <c r="AZ44" s="1041" t="s">
        <v>1374</v>
      </c>
      <c r="BE44" s="1041">
        <v>2042</v>
      </c>
      <c r="BH44" s="992" t="s">
        <v>1732</v>
      </c>
      <c r="BJ44" s="1138" t="s">
        <v>1136</v>
      </c>
      <c r="BL44" s="1138" t="s">
        <v>1136</v>
      </c>
      <c r="BN44" s="992" t="s">
        <v>1733</v>
      </c>
    </row>
    <row r="45" spans="1:66" ht="11.25" customHeight="1">
      <c r="A45" s="998" t="s">
        <v>1734</v>
      </c>
      <c r="D45" s="1033" t="s">
        <v>1735</v>
      </c>
      <c r="E45" s="1034" t="s">
        <v>1736</v>
      </c>
      <c r="F45" s="729" t="s">
        <v>1737</v>
      </c>
      <c r="G45" s="728" t="s">
        <v>1738</v>
      </c>
      <c r="H45" s="731" t="s">
        <v>1739</v>
      </c>
      <c r="I45" s="1661" t="b">
        <f>INDEX(PeriodIsEmptyList,MATCH(TEMPLATE_GROUP,CodeTemplateList,0),1)</f>
        <v>0</v>
      </c>
      <c r="J45" s="1664"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1" t="s">
        <v>1740</v>
      </c>
      <c r="AZ45" s="1041" t="s">
        <v>1407</v>
      </c>
      <c r="BE45" s="1041">
        <v>2043</v>
      </c>
      <c r="BH45" s="992" t="s">
        <v>1741</v>
      </c>
      <c r="BJ45" s="1138" t="s">
        <v>1130</v>
      </c>
      <c r="BL45" s="1138" t="s">
        <v>1130</v>
      </c>
      <c r="BN45" s="992" t="s">
        <v>1742</v>
      </c>
    </row>
    <row r="46" spans="1:66" ht="11.25" customHeight="1">
      <c r="A46" s="998" t="s">
        <v>1743</v>
      </c>
      <c r="E46" s="345" t="s">
        <v>26</v>
      </c>
      <c r="F46" s="1036" t="s">
        <v>1744</v>
      </c>
      <c r="G46" s="1038" t="str">
        <f ca="1">IFERROR(IF(TITLE_DATE_FIL="","01.01."&amp;CURRENT_YEAR,"01.01."&amp;YEAR(TITLE_DATE_FIL)),"01.01."&amp;CURRENT_YEAR)</f>
        <v>01.01.2024</v>
      </c>
      <c r="H46" s="1038" t="str">
        <f ca="1">IFERROR(IF(TITLE_DATE_FIL="","31.12."&amp;CURRENT_YEAR,"31.12."&amp;YEAR(TITLE_DATE_FIL)),"31.12."&amp;CURRENT_YEAR)</f>
        <v>31.12.2024</v>
      </c>
      <c r="I46" s="1662" t="b">
        <f>IF(TITLE_DATE_FIL="",TRUE,FALSE)</f>
        <v>1</v>
      </c>
      <c r="J46" s="1665" t="str">
        <f>"Общая информация о регулируемой организации ("&amp;TEMPLATE_SPHERE_RUS&amp;")"</f>
        <v>Общая информация о регулируемой организации (водоотведения)</v>
      </c>
      <c r="K46" s="1666"/>
      <c r="AX46" s="1041" t="s">
        <v>118</v>
      </c>
      <c r="AZ46" s="1041" t="s">
        <v>1432</v>
      </c>
      <c r="BE46" s="1041">
        <v>2044</v>
      </c>
      <c r="BH46" s="992" t="s">
        <v>1139</v>
      </c>
      <c r="BJ46" s="1138" t="s">
        <v>1120</v>
      </c>
      <c r="BL46" s="1138" t="s">
        <v>1120</v>
      </c>
      <c r="BN46" s="992" t="s">
        <v>1745</v>
      </c>
    </row>
    <row r="47" spans="1:66" ht="11.25" customHeight="1">
      <c r="A47" s="998" t="s">
        <v>1746</v>
      </c>
      <c r="E47" s="345" t="s">
        <v>33</v>
      </c>
      <c r="F47" s="1037" t="s">
        <v>1747</v>
      </c>
      <c r="G47" s="1038" t="str">
        <f ca="1">IFERROR(IF(f_year="","01.01."&amp;CURRENT_YEAR,IF(LEN(f_quart)=0,"01.01."&amp;f_year,IF(f_quart="I квартал","01.01."&amp;f_year,IF(f_quart="II квартал","01.04."&amp;f_year,(IF(f_quart="III квартал","01.07."&amp;f_year,"01.10."&amp;f_year)))))),"01.01."&amp;CURRENT_YEAR)</f>
        <v>01.01.2024</v>
      </c>
      <c r="H47" s="1038" t="str">
        <f ca="1">IFERROR(IF(f_year="","31.12."&amp;CURRENT_YEAR,IF(LEN(f_quart)=0,"31.12."&amp;f_year,IF(f_quart="I квартал","31.03."&amp;f_year,IF(f_quart="II квартал","30.06."&amp;f_year,(IF(f_quart="III квартал","30.09."&amp;f_year,"31.12."&amp;f_year)))))),"31.12."&amp;CURRENT_YEAR)</f>
        <v>31.12.2024</v>
      </c>
      <c r="I47" s="1663" t="b">
        <f>IF(OR(f_year="",f_quart=""),TRUE,FALSE)</f>
        <v>1</v>
      </c>
      <c r="J47" s="166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66"/>
      <c r="AX47" s="1041" t="s">
        <v>1748</v>
      </c>
      <c r="AZ47" s="1041" t="s">
        <v>1451</v>
      </c>
      <c r="BE47" s="1041">
        <v>2045</v>
      </c>
      <c r="BH47" s="992" t="s">
        <v>1722</v>
      </c>
      <c r="BJ47" s="1138" t="s">
        <v>1122</v>
      </c>
      <c r="BL47" s="1138" t="s">
        <v>1122</v>
      </c>
      <c r="BN47" s="992" t="s">
        <v>1749</v>
      </c>
    </row>
    <row r="48" spans="1:66" ht="11.25" customHeight="1">
      <c r="A48" s="998" t="s">
        <v>1750</v>
      </c>
      <c r="E48" s="345" t="s">
        <v>1751</v>
      </c>
      <c r="F48" s="1037" t="s">
        <v>1752</v>
      </c>
      <c r="G48" s="1038" t="str">
        <f ca="1">IFERROR(IF(f_year="","01.01."&amp;CURRENT_YEAR,"01.01."&amp;f_year),"01.01."&amp;CURRENT_YEAR)</f>
        <v>01.01.2024</v>
      </c>
      <c r="H48" s="1038" t="str">
        <f ca="1">IFERROR(IF(f_year="","31.12."&amp;CURRENT_YEAR,"31.12."&amp;f_year),"31.12."&amp;CURRENT_YEAR)</f>
        <v>31.12.2024</v>
      </c>
      <c r="I48" s="1662" t="b">
        <f>IF(f_year="",TRUE,FALSE)</f>
        <v>1</v>
      </c>
      <c r="J48" s="1665" t="s">
        <v>1753</v>
      </c>
      <c r="K48" s="1666"/>
      <c r="AX48" s="1041" t="s">
        <v>1754</v>
      </c>
      <c r="AZ48" s="1041" t="s">
        <v>1468</v>
      </c>
      <c r="BE48" s="1041">
        <v>2046</v>
      </c>
      <c r="BH48" s="992" t="s">
        <v>1726</v>
      </c>
      <c r="BJ48" s="1138" t="s">
        <v>1124</v>
      </c>
      <c r="BL48" s="1138" t="s">
        <v>1124</v>
      </c>
      <c r="BN48" s="992" t="s">
        <v>1755</v>
      </c>
    </row>
    <row r="49" spans="1:64" ht="11.25" customHeight="1">
      <c r="A49" s="998" t="s">
        <v>16</v>
      </c>
      <c r="E49" s="345" t="s">
        <v>1756</v>
      </c>
      <c r="F49" s="1037" t="s">
        <v>1757</v>
      </c>
      <c r="G49" s="1038" t="str">
        <f ca="1">IFERROR(IF(f_year="","01.01."&amp;CURRENT_YEAR,"01.01."&amp;f_year),"01.01."&amp;CURRENT_YEAR)</f>
        <v>01.01.2024</v>
      </c>
      <c r="H49" s="1038" t="str">
        <f ca="1">IFERROR(IF(f_year="","31.12."&amp;CURRENT_YEAR,"31.12."&amp;f_year),"31.12."&amp;CURRENT_YEAR)</f>
        <v>31.12.2024</v>
      </c>
      <c r="I49" s="1662" t="b">
        <f>IF(f_year="",TRUE,FALSE)</f>
        <v>1</v>
      </c>
      <c r="J49" s="166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66"/>
      <c r="AX49" s="1041" t="s">
        <v>1758</v>
      </c>
      <c r="AZ49" s="1041" t="s">
        <v>1484</v>
      </c>
      <c r="BE49" s="1041">
        <v>2047</v>
      </c>
      <c r="BH49" s="992" t="s">
        <v>1140</v>
      </c>
      <c r="BJ49" s="1138" t="s">
        <v>1126</v>
      </c>
      <c r="BL49" s="1138" t="s">
        <v>1126</v>
      </c>
    </row>
    <row r="50" spans="1:64" ht="11.25" customHeight="1">
      <c r="A50" s="998" t="s">
        <v>1759</v>
      </c>
      <c r="E50" s="345" t="s">
        <v>1760</v>
      </c>
      <c r="F50" s="1037" t="s">
        <v>1110</v>
      </c>
      <c r="G50" s="1038" t="str">
        <f ca="1">IFERROR(IF(f_year="","01.01."&amp;CURRENT_YEAR,"01.01."&amp;f_year),"01.01."&amp;CURRENT_YEAR)</f>
        <v>01.01.2024</v>
      </c>
      <c r="H50" s="1038" t="str">
        <f ca="1">IFERROR(IF(f_year="","31.12."&amp;CURRENT_YEAR,"31.12."&amp;f_year),"31.12."&amp;CURRENT_YEAR)</f>
        <v>31.12.2024</v>
      </c>
      <c r="I50" s="1662" t="b">
        <f>IF(f_year="",TRUE,FALSE)</f>
        <v>1</v>
      </c>
      <c r="J50" s="166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66"/>
      <c r="AX50" s="1041" t="s">
        <v>1761</v>
      </c>
      <c r="AZ50" s="1041" t="s">
        <v>1500</v>
      </c>
      <c r="BE50" s="1041">
        <v>2048</v>
      </c>
      <c r="BH50" s="992" t="s">
        <v>1733</v>
      </c>
      <c r="BJ50" s="1138" t="s">
        <v>1128</v>
      </c>
      <c r="BL50" s="1138" t="s">
        <v>1128</v>
      </c>
    </row>
    <row r="51" spans="1:64" ht="11.25" customHeight="1">
      <c r="A51" s="998" t="s">
        <v>1762</v>
      </c>
      <c r="E51" s="345" t="s">
        <v>1763</v>
      </c>
      <c r="F51" s="1037" t="s">
        <v>1736</v>
      </c>
      <c r="G51" s="1038" t="str">
        <f>IFERROR(IF(TITLE_PERIOD_START="","01.01."&amp;CURRENT_YEAR,"01.01."&amp;YEAR(TITLE_PERIOD_START)),"01.01."&amp;CURRENT_YEAR)</f>
        <v>01.01.2025</v>
      </c>
      <c r="H51" s="1038" t="str">
        <f>IFERROR(IF(TITLE_PERIOD_END="","31.12."&amp;CURRENT_YEAR,"31.12."&amp;YEAR(TITLE_PERIOD_END)),"31.12."&amp;CURRENT_YEAR)</f>
        <v>31.12.2028</v>
      </c>
      <c r="I51" s="1663" t="b">
        <f>IF(OR(TITLE_PERIOD_START="",TITLE_PERIOD_END=""),TRUE,FALSE)</f>
        <v>0</v>
      </c>
      <c r="J51" s="166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6"/>
      <c r="AX51" s="1041" t="s">
        <v>1764</v>
      </c>
      <c r="AZ51" s="1041" t="s">
        <v>1516</v>
      </c>
      <c r="BE51" s="1041">
        <v>2049</v>
      </c>
      <c r="BH51" s="992" t="s">
        <v>1742</v>
      </c>
      <c r="BJ51" s="1138" t="s">
        <v>1765</v>
      </c>
      <c r="BL51" s="1138" t="s">
        <v>1765</v>
      </c>
    </row>
    <row r="52" spans="1:64" ht="11.25" customHeight="1">
      <c r="A52" s="998" t="s">
        <v>1766</v>
      </c>
      <c r="E52" s="345" t="s">
        <v>1767</v>
      </c>
      <c r="F52" s="1037" t="s">
        <v>1768</v>
      </c>
      <c r="G52" s="1038" t="str">
        <f>IFERROR(IF(TITLE_PERIOD_START="","01.01."&amp;CURRENT_YEAR,"01.01."&amp;YEAR(TITLE_PERIOD_START)),"01.01."&amp;CURRENT_YEAR)</f>
        <v>01.01.2025</v>
      </c>
      <c r="H52" s="1038" t="str">
        <f>IFERROR(IF(TITLE_PERIOD_END="","31.12."&amp;CURRENT_YEAR,"31.12."&amp;YEAR(TITLE_PERIOD_END)),"31.12."&amp;CURRENT_YEAR)</f>
        <v>31.12.2028</v>
      </c>
      <c r="I52" s="1663" t="b">
        <f>IF(OR(TITLE_PERIOD_START="",TITLE_PERIOD_END=""),TRUE,FALSE)</f>
        <v>0</v>
      </c>
      <c r="J52" s="1665" t="str">
        <f>"Показатели, подлежащие раскрытию в сфере "&amp;TEMPLATE_SPHERE_RUS&amp;" (цены и тарифы)"</f>
        <v>Показатели, подлежащие раскрытию в сфере водоотведения (цены и тарифы)</v>
      </c>
      <c r="K52" s="1666"/>
      <c r="AX52" s="1041" t="s">
        <v>1769</v>
      </c>
      <c r="AZ52" s="1041" t="s">
        <v>611</v>
      </c>
      <c r="BE52" s="1041">
        <v>2050</v>
      </c>
      <c r="BH52" s="992" t="s">
        <v>1745</v>
      </c>
      <c r="BJ52" s="1138" t="s">
        <v>1139</v>
      </c>
      <c r="BL52" s="1138" t="s">
        <v>1139</v>
      </c>
    </row>
    <row r="53" spans="1:64" ht="11.25" customHeight="1">
      <c r="A53" s="998" t="s">
        <v>1770</v>
      </c>
      <c r="E53" s="345" t="s">
        <v>1771</v>
      </c>
      <c r="F53" s="1037" t="s">
        <v>1771</v>
      </c>
      <c r="G53" s="1038" t="str">
        <f ca="1">IFERROR(IF(f_year="","01.01."&amp;CURRENT_YEAR,"01.01."&amp;f_year),"01.01."&amp;CURRENT_YEAR)</f>
        <v>01.01.2024</v>
      </c>
      <c r="H53" s="1038" t="str">
        <f ca="1">IFERROR(IF(f_year="","31.12."&amp;CURRENT_YEAR,"31.12."&amp;f_year),"31.12."&amp;CURRENT_YEAR)</f>
        <v>31.12.2024</v>
      </c>
      <c r="I53" s="1662" t="b">
        <f>IF(AND(f_year="",TITLE_DATE_FIL=""),TRUE,FALSE)</f>
        <v>1</v>
      </c>
      <c r="J53" s="1665" t="s">
        <v>1772</v>
      </c>
      <c r="K53" s="1666"/>
      <c r="AX53" s="1041" t="s">
        <v>1773</v>
      </c>
      <c r="BE53" s="1041">
        <v>2051</v>
      </c>
      <c r="BH53" s="992" t="s">
        <v>1749</v>
      </c>
      <c r="BJ53" s="1138" t="s">
        <v>1722</v>
      </c>
      <c r="BL53" s="1138" t="s">
        <v>1722</v>
      </c>
    </row>
    <row r="54" spans="1:64" ht="11.25" customHeight="1">
      <c r="A54" s="998" t="s">
        <v>1774</v>
      </c>
      <c r="AX54" s="1041" t="s">
        <v>1775</v>
      </c>
      <c r="AZ54" s="991" t="s">
        <v>1776</v>
      </c>
      <c r="BE54" s="1041">
        <v>2052</v>
      </c>
      <c r="BH54" s="992" t="s">
        <v>1755</v>
      </c>
      <c r="BJ54" s="1138" t="s">
        <v>1726</v>
      </c>
      <c r="BL54" s="1138" t="s">
        <v>1726</v>
      </c>
    </row>
    <row r="55" spans="1:64" ht="11.25" customHeight="1">
      <c r="A55" s="998" t="s">
        <v>1777</v>
      </c>
      <c r="AX55" s="1041" t="s">
        <v>1778</v>
      </c>
      <c r="AZ55" s="1041" t="s">
        <v>1316</v>
      </c>
      <c r="BE55" s="1041">
        <v>2053</v>
      </c>
      <c r="BH55" s="994" t="s">
        <v>28</v>
      </c>
      <c r="BJ55" s="1138" t="s">
        <v>1140</v>
      </c>
      <c r="BL55" s="1138" t="s">
        <v>1140</v>
      </c>
    </row>
    <row r="56" spans="1:64" ht="11.25" customHeight="1">
      <c r="A56" s="998" t="s">
        <v>1779</v>
      </c>
      <c r="D56" s="1040" t="s">
        <v>1780</v>
      </c>
      <c r="E56" s="1018" t="s">
        <v>1781</v>
      </c>
      <c r="F56" s="998" t="s">
        <v>1782</v>
      </c>
      <c r="AX56" s="1041" t="s">
        <v>1783</v>
      </c>
      <c r="AZ56" s="1041" t="s">
        <v>1342</v>
      </c>
      <c r="BE56" s="1041">
        <v>2054</v>
      </c>
      <c r="BH56" s="994" t="s">
        <v>28</v>
      </c>
      <c r="BJ56" s="1138" t="s">
        <v>1733</v>
      </c>
      <c r="BL56" s="1138" t="s">
        <v>1733</v>
      </c>
    </row>
    <row r="57" spans="1:64" ht="11.25" customHeight="1">
      <c r="A57" s="998" t="s">
        <v>1784</v>
      </c>
      <c r="D57" s="1040" t="s">
        <v>1785</v>
      </c>
      <c r="E57" s="1018" t="s">
        <v>116</v>
      </c>
      <c r="F57" s="998" t="s">
        <v>1782</v>
      </c>
      <c r="AX57" s="1041" t="s">
        <v>1786</v>
      </c>
      <c r="AZ57" s="1041" t="s">
        <v>1377</v>
      </c>
      <c r="BE57" s="1041">
        <v>2055</v>
      </c>
      <c r="BJ57" s="1138" t="s">
        <v>1742</v>
      </c>
      <c r="BL57" s="1138" t="s">
        <v>1742</v>
      </c>
    </row>
    <row r="58" spans="1:64" ht="11.25" customHeight="1">
      <c r="A58" s="998" t="s">
        <v>1787</v>
      </c>
      <c r="D58" s="1040" t="s">
        <v>1788</v>
      </c>
      <c r="E58" s="1018" t="s">
        <v>116</v>
      </c>
      <c r="F58" s="998" t="s">
        <v>1782</v>
      </c>
      <c r="AX58" s="1041" t="s">
        <v>1789</v>
      </c>
      <c r="BE58" s="1041">
        <v>2056</v>
      </c>
      <c r="BJ58" s="1138" t="s">
        <v>1745</v>
      </c>
      <c r="BL58" s="1138" t="s">
        <v>1745</v>
      </c>
    </row>
    <row r="59" spans="1:64" ht="11.25" customHeight="1">
      <c r="A59" s="998" t="s">
        <v>1790</v>
      </c>
      <c r="D59" s="1040" t="s">
        <v>163</v>
      </c>
      <c r="E59" s="1018" t="s">
        <v>1678</v>
      </c>
      <c r="F59" s="998" t="s">
        <v>1791</v>
      </c>
      <c r="AX59" s="1041" t="s">
        <v>1792</v>
      </c>
      <c r="AZ59" s="991" t="s">
        <v>1793</v>
      </c>
      <c r="BE59" s="1041">
        <v>2057</v>
      </c>
      <c r="BJ59" s="1138" t="s">
        <v>1749</v>
      </c>
      <c r="BL59" s="1138" t="s">
        <v>1749</v>
      </c>
    </row>
    <row r="60" spans="1:64" ht="11.25" customHeight="1">
      <c r="A60" s="998" t="s">
        <v>1794</v>
      </c>
      <c r="D60" s="1040" t="s">
        <v>1795</v>
      </c>
      <c r="E60" s="1018" t="s">
        <v>1678</v>
      </c>
      <c r="F60" s="998" t="s">
        <v>1791</v>
      </c>
      <c r="AX60" s="1041" t="s">
        <v>1796</v>
      </c>
      <c r="AZ60" s="1041" t="s">
        <v>1317</v>
      </c>
      <c r="BE60" s="1041">
        <v>2058</v>
      </c>
      <c r="BJ60" s="1138" t="s">
        <v>1755</v>
      </c>
      <c r="BL60" s="1138" t="s">
        <v>1755</v>
      </c>
    </row>
    <row r="61" spans="1:64" ht="11.25" customHeight="1">
      <c r="A61" s="998" t="s">
        <v>1797</v>
      </c>
      <c r="D61" s="1040" t="s">
        <v>1798</v>
      </c>
      <c r="E61" s="1018" t="s">
        <v>1678</v>
      </c>
      <c r="F61" s="998" t="s">
        <v>1791</v>
      </c>
      <c r="AX61" s="1041" t="s">
        <v>1799</v>
      </c>
      <c r="AZ61" s="1041" t="s">
        <v>1343</v>
      </c>
      <c r="BE61" s="1041">
        <v>2059</v>
      </c>
      <c r="BL61" s="1138" t="s">
        <v>1132</v>
      </c>
    </row>
    <row r="62" spans="1:64" ht="11.25" customHeight="1">
      <c r="A62" s="998" t="s">
        <v>1800</v>
      </c>
      <c r="D62" s="1040" t="s">
        <v>162</v>
      </c>
      <c r="E62" s="1018">
        <v>38</v>
      </c>
      <c r="F62" s="998" t="s">
        <v>1791</v>
      </c>
      <c r="AZ62" s="1041" t="s">
        <v>1378</v>
      </c>
      <c r="BE62" s="1041">
        <v>2060</v>
      </c>
      <c r="BL62" s="1138" t="s">
        <v>1134</v>
      </c>
    </row>
    <row r="63" spans="1:64" ht="11.25" customHeight="1">
      <c r="A63" s="998" t="s">
        <v>1801</v>
      </c>
      <c r="D63" s="1040" t="s">
        <v>1802</v>
      </c>
      <c r="E63" s="1018">
        <v>47</v>
      </c>
      <c r="F63" s="998" t="s">
        <v>1791</v>
      </c>
      <c r="AZ63" s="1041" t="s">
        <v>1410</v>
      </c>
      <c r="BE63" s="1041">
        <v>2061</v>
      </c>
    </row>
    <row r="64" spans="1:64" ht="11.25" customHeight="1">
      <c r="A64" s="998" t="s">
        <v>1803</v>
      </c>
      <c r="D64" s="1040" t="s">
        <v>1804</v>
      </c>
      <c r="E64" s="1018">
        <v>47</v>
      </c>
      <c r="F64" s="998" t="s">
        <v>1791</v>
      </c>
      <c r="AZ64" s="1041" t="s">
        <v>1433</v>
      </c>
      <c r="BE64" s="1041">
        <v>2062</v>
      </c>
    </row>
    <row r="65" spans="1:66" ht="11.25" customHeight="1">
      <c r="A65" s="998" t="s">
        <v>1805</v>
      </c>
      <c r="D65" s="998"/>
      <c r="BE65" s="1041">
        <v>2063</v>
      </c>
    </row>
    <row r="66" spans="1:66" ht="11.25" customHeight="1">
      <c r="A66" s="998" t="s">
        <v>1806</v>
      </c>
      <c r="AZ66" s="991" t="s">
        <v>1807</v>
      </c>
      <c r="BE66" s="1041">
        <v>2064</v>
      </c>
    </row>
    <row r="67" spans="1:66" ht="11.25" customHeight="1">
      <c r="A67" s="998" t="s">
        <v>1808</v>
      </c>
      <c r="AZ67" s="1041" t="s">
        <v>1318</v>
      </c>
      <c r="BE67" s="1041">
        <v>2065</v>
      </c>
    </row>
    <row r="68" spans="1:66" ht="11.25" customHeight="1">
      <c r="A68" s="998" t="s">
        <v>1809</v>
      </c>
      <c r="AZ68" s="1041" t="s">
        <v>1344</v>
      </c>
      <c r="BE68" s="1041">
        <v>2066</v>
      </c>
      <c r="BH68" s="991" t="s">
        <v>1810</v>
      </c>
      <c r="BJ68" s="991" t="s">
        <v>1811</v>
      </c>
      <c r="BL68" s="991" t="s">
        <v>1812</v>
      </c>
      <c r="BN68" s="991" t="s">
        <v>1813</v>
      </c>
    </row>
    <row r="69" spans="1:66" ht="11.25" customHeight="1">
      <c r="A69" s="998" t="s">
        <v>1814</v>
      </c>
      <c r="AZ69" s="1041" t="s">
        <v>1379</v>
      </c>
      <c r="BE69" s="1041">
        <v>2067</v>
      </c>
      <c r="BH69" s="992" t="s">
        <v>1815</v>
      </c>
      <c r="BI69" s="1039" t="s">
        <v>136</v>
      </c>
      <c r="BJ69" s="992" t="s">
        <v>1816</v>
      </c>
      <c r="BK69" s="1039" t="s">
        <v>136</v>
      </c>
      <c r="BL69" s="992" t="s">
        <v>1817</v>
      </c>
      <c r="BM69" s="994" t="s">
        <v>136</v>
      </c>
      <c r="BN69" s="992" t="s">
        <v>1818</v>
      </c>
    </row>
    <row r="70" spans="1:66" ht="11.25" customHeight="1">
      <c r="A70" s="998" t="s">
        <v>1819</v>
      </c>
      <c r="AZ70" s="1041" t="s">
        <v>1411</v>
      </c>
      <c r="BE70" s="1041">
        <v>2068</v>
      </c>
      <c r="BH70" s="992" t="s">
        <v>1820</v>
      </c>
      <c r="BJ70" s="992" t="s">
        <v>1821</v>
      </c>
      <c r="BL70" s="992" t="s">
        <v>1822</v>
      </c>
      <c r="BN70" s="992" t="s">
        <v>1823</v>
      </c>
    </row>
    <row r="71" spans="1:66" ht="11.25" customHeight="1">
      <c r="A71" s="998" t="s">
        <v>1824</v>
      </c>
      <c r="AZ71" s="1041" t="s">
        <v>1413</v>
      </c>
      <c r="BE71" s="1041">
        <v>2069</v>
      </c>
      <c r="BH71" s="992" t="s">
        <v>1825</v>
      </c>
      <c r="BI71" s="1039" t="s">
        <v>90</v>
      </c>
      <c r="BJ71" s="992" t="s">
        <v>1826</v>
      </c>
      <c r="BK71" s="1039" t="s">
        <v>90</v>
      </c>
      <c r="BL71" s="992" t="s">
        <v>1827</v>
      </c>
      <c r="BM71" s="994" t="s">
        <v>90</v>
      </c>
      <c r="BN71" s="992" t="s">
        <v>1828</v>
      </c>
    </row>
    <row r="72" spans="1:66" ht="11.25" customHeight="1">
      <c r="A72" s="998" t="s">
        <v>1829</v>
      </c>
      <c r="AZ72" s="1041" t="s">
        <v>19</v>
      </c>
      <c r="BE72" s="1041">
        <v>2070</v>
      </c>
      <c r="BH72" s="992" t="s">
        <v>1830</v>
      </c>
      <c r="BJ72" s="992" t="s">
        <v>1830</v>
      </c>
      <c r="BL72" s="992" t="s">
        <v>1830</v>
      </c>
      <c r="BN72" s="992" t="s">
        <v>1831</v>
      </c>
    </row>
    <row r="73" spans="1:66" ht="11.25" customHeight="1">
      <c r="A73" s="998" t="s">
        <v>1832</v>
      </c>
      <c r="BH73" s="992" t="s">
        <v>1833</v>
      </c>
      <c r="BI73" s="1039" t="s">
        <v>116</v>
      </c>
      <c r="BJ73" s="992" t="s">
        <v>1834</v>
      </c>
      <c r="BK73" s="1039" t="s">
        <v>116</v>
      </c>
      <c r="BL73" s="992" t="s">
        <v>1835</v>
      </c>
      <c r="BM73" s="994" t="s">
        <v>116</v>
      </c>
      <c r="BN73" s="992" t="s">
        <v>1836</v>
      </c>
    </row>
    <row r="74" spans="1:66" ht="11.25" customHeight="1">
      <c r="A74" s="998" t="s">
        <v>1837</v>
      </c>
      <c r="BH74" s="992" t="s">
        <v>1838</v>
      </c>
      <c r="BJ74" s="992" t="s">
        <v>1839</v>
      </c>
      <c r="BL74" s="992" t="s">
        <v>1840</v>
      </c>
      <c r="BN74" s="992" t="s">
        <v>1841</v>
      </c>
    </row>
    <row r="75" spans="1:66" ht="11.25" customHeight="1">
      <c r="A75" s="998" t="s">
        <v>1842</v>
      </c>
      <c r="AZ75" s="991" t="s">
        <v>1843</v>
      </c>
      <c r="BH75" s="992" t="s">
        <v>1844</v>
      </c>
      <c r="BJ75" s="992" t="s">
        <v>1844</v>
      </c>
      <c r="BL75" s="992" t="s">
        <v>1844</v>
      </c>
    </row>
    <row r="76" spans="1:66" ht="11.25" customHeight="1">
      <c r="A76" s="998" t="s">
        <v>1845</v>
      </c>
      <c r="AZ76" s="1041" t="s">
        <v>1327</v>
      </c>
      <c r="BH76" s="992" t="s">
        <v>1846</v>
      </c>
      <c r="BJ76" s="992" t="s">
        <v>1847</v>
      </c>
      <c r="BL76" s="992" t="s">
        <v>1848</v>
      </c>
    </row>
    <row r="77" spans="1:66" ht="11.25" customHeight="1">
      <c r="A77" s="998" t="s">
        <v>1849</v>
      </c>
      <c r="AZ77" s="1041" t="s">
        <v>1354</v>
      </c>
    </row>
    <row r="78" spans="1:66" ht="11.25" customHeight="1">
      <c r="A78" s="998" t="s">
        <v>1850</v>
      </c>
      <c r="AZ78" s="1041" t="s">
        <v>1386</v>
      </c>
    </row>
    <row r="79" spans="1:66" ht="11.25" customHeight="1">
      <c r="A79" s="998" t="s">
        <v>1851</v>
      </c>
      <c r="AZ79" s="1041" t="s">
        <v>1417</v>
      </c>
      <c r="BH79" s="991" t="s">
        <v>1852</v>
      </c>
      <c r="BJ79" s="991" t="s">
        <v>1853</v>
      </c>
      <c r="BL79" s="991" t="s">
        <v>1854</v>
      </c>
    </row>
    <row r="80" spans="1:66" ht="11.25" customHeight="1">
      <c r="A80" s="998" t="s">
        <v>1855</v>
      </c>
      <c r="AZ80" s="1041" t="s">
        <v>1438</v>
      </c>
      <c r="BH80" s="992" t="s">
        <v>1856</v>
      </c>
      <c r="BJ80" s="992" t="s">
        <v>1857</v>
      </c>
      <c r="BL80" s="992" t="s">
        <v>1858</v>
      </c>
    </row>
    <row r="81" spans="1:66" ht="11.25" customHeight="1">
      <c r="A81" s="998" t="s">
        <v>1859</v>
      </c>
      <c r="AZ81" s="1041" t="s">
        <v>1455</v>
      </c>
      <c r="BH81" s="992" t="s">
        <v>1860</v>
      </c>
      <c r="BJ81" s="992" t="s">
        <v>1861</v>
      </c>
      <c r="BL81" s="992" t="s">
        <v>1862</v>
      </c>
    </row>
    <row r="82" spans="1:66" ht="11.25" customHeight="1">
      <c r="A82" s="998" t="s">
        <v>1863</v>
      </c>
      <c r="AZ82" s="1041" t="s">
        <v>1470</v>
      </c>
      <c r="BH82" s="992" t="s">
        <v>1864</v>
      </c>
      <c r="BJ82" s="992" t="s">
        <v>1865</v>
      </c>
      <c r="BL82" s="992" t="s">
        <v>1866</v>
      </c>
    </row>
    <row r="83" spans="1:66" ht="11.25" customHeight="1">
      <c r="A83" s="998" t="s">
        <v>1867</v>
      </c>
      <c r="BH83" s="992" t="s">
        <v>1868</v>
      </c>
      <c r="BJ83" s="992" t="s">
        <v>1869</v>
      </c>
      <c r="BL83" s="992" t="s">
        <v>1870</v>
      </c>
    </row>
    <row r="84" spans="1:66" ht="11.25" customHeight="1">
      <c r="A84" s="998" t="s">
        <v>1871</v>
      </c>
      <c r="AZ84" s="991" t="s">
        <v>1872</v>
      </c>
    </row>
    <row r="85" spans="1:66" ht="11.25" customHeight="1">
      <c r="A85" s="1788" t="s">
        <v>1873</v>
      </c>
      <c r="AZ85" s="1041" t="s">
        <v>1874</v>
      </c>
    </row>
    <row r="86" spans="1:66" ht="11.25" customHeight="1">
      <c r="A86" s="998" t="s">
        <v>1875</v>
      </c>
      <c r="AZ86" s="1041" t="s">
        <v>1876</v>
      </c>
      <c r="BH86" s="991" t="s">
        <v>1877</v>
      </c>
      <c r="BJ86" s="991" t="s">
        <v>1878</v>
      </c>
      <c r="BL86" s="991" t="s">
        <v>1879</v>
      </c>
    </row>
    <row r="87" spans="1:66" ht="11.25" customHeight="1">
      <c r="A87" s="998" t="s">
        <v>1880</v>
      </c>
      <c r="AZ87" s="1041" t="s">
        <v>1881</v>
      </c>
      <c r="BH87" s="992" t="s">
        <v>1882</v>
      </c>
      <c r="BJ87" s="992" t="s">
        <v>1883</v>
      </c>
      <c r="BL87" s="992" t="s">
        <v>1884</v>
      </c>
    </row>
    <row r="88" spans="1:66" ht="11.25" customHeight="1">
      <c r="A88" s="998" t="s">
        <v>1885</v>
      </c>
      <c r="AZ88" s="1527"/>
      <c r="BH88" s="992" t="s">
        <v>1886</v>
      </c>
      <c r="BJ88" s="992" t="s">
        <v>1887</v>
      </c>
      <c r="BL88" s="992" t="s">
        <v>1888</v>
      </c>
    </row>
    <row r="89" spans="1:66" ht="11.25" customHeight="1">
      <c r="A89" s="998" t="s">
        <v>1889</v>
      </c>
      <c r="AZ89" s="991" t="s">
        <v>1890</v>
      </c>
    </row>
    <row r="90" spans="1:66" ht="11.25" customHeight="1">
      <c r="A90" s="998" t="s">
        <v>1891</v>
      </c>
      <c r="AZ90" s="1041" t="s">
        <v>1110</v>
      </c>
    </row>
    <row r="91" spans="1:66" ht="11.25" customHeight="1">
      <c r="A91" s="998" t="s">
        <v>1892</v>
      </c>
      <c r="AZ91" s="1041" t="s">
        <v>1146</v>
      </c>
      <c r="BH91" s="991" t="s">
        <v>1893</v>
      </c>
      <c r="BJ91" s="991" t="s">
        <v>1894</v>
      </c>
      <c r="BL91" s="991" t="s">
        <v>1895</v>
      </c>
    </row>
    <row r="92" spans="1:66" ht="11.25" customHeight="1">
      <c r="AZ92" s="1041" t="s">
        <v>1896</v>
      </c>
      <c r="BH92" s="992" t="s">
        <v>1897</v>
      </c>
      <c r="BJ92" s="992" t="s">
        <v>1898</v>
      </c>
      <c r="BL92" s="992" t="s">
        <v>1899</v>
      </c>
    </row>
    <row r="93" spans="1:66" ht="11.25" customHeight="1">
      <c r="AZ93" s="1041" t="s">
        <v>1900</v>
      </c>
      <c r="BH93" s="992" t="s">
        <v>1901</v>
      </c>
      <c r="BJ93" s="992" t="s">
        <v>1902</v>
      </c>
      <c r="BL93" s="992" t="s">
        <v>1903</v>
      </c>
    </row>
    <row r="94" spans="1:66" ht="11.25" customHeight="1">
      <c r="AZ94" s="1041" t="s">
        <v>1904</v>
      </c>
    </row>
    <row r="96" spans="1:66" ht="11.25" customHeight="1">
      <c r="AZ96" s="991" t="s">
        <v>1905</v>
      </c>
      <c r="BH96" s="991" t="s">
        <v>1906</v>
      </c>
      <c r="BJ96" s="991" t="s">
        <v>1907</v>
      </c>
      <c r="BL96" s="991" t="s">
        <v>1908</v>
      </c>
      <c r="BN96" s="991" t="s">
        <v>1909</v>
      </c>
    </row>
    <row r="97" spans="52:66" ht="11.25" customHeight="1">
      <c r="AZ97" s="1819" t="s">
        <v>1910</v>
      </c>
      <c r="BA97" s="1820" t="s">
        <v>1911</v>
      </c>
      <c r="BH97" s="992" t="s">
        <v>1912</v>
      </c>
      <c r="BJ97" s="992" t="s">
        <v>1913</v>
      </c>
      <c r="BL97" s="992" t="s">
        <v>1914</v>
      </c>
      <c r="BN97" s="992" t="s">
        <v>1915</v>
      </c>
    </row>
    <row r="98" spans="52:66" ht="11.25" customHeight="1">
      <c r="AZ98" s="1819" t="s">
        <v>1916</v>
      </c>
      <c r="BA98" s="1820" t="s">
        <v>1917</v>
      </c>
      <c r="BH98" s="992" t="s">
        <v>1918</v>
      </c>
      <c r="BJ98" s="992" t="s">
        <v>1919</v>
      </c>
      <c r="BL98" s="992" t="s">
        <v>1920</v>
      </c>
      <c r="BN98" s="992" t="s">
        <v>1921</v>
      </c>
    </row>
    <row r="99" spans="52:66" ht="22.5" customHeight="1">
      <c r="AZ99" s="1819" t="s">
        <v>1922</v>
      </c>
      <c r="BA99" s="182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2" t="s">
        <v>1923</v>
      </c>
      <c r="BJ99" s="992" t="s">
        <v>1924</v>
      </c>
      <c r="BL99" s="992" t="s">
        <v>1925</v>
      </c>
      <c r="BN99" s="992" t="s">
        <v>1926</v>
      </c>
    </row>
    <row r="100" spans="52:66" ht="22.5" customHeight="1">
      <c r="AZ100" s="1819" t="s">
        <v>1927</v>
      </c>
      <c r="BA100" s="182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2" t="s">
        <v>1516</v>
      </c>
      <c r="BL100" s="992" t="s">
        <v>1516</v>
      </c>
      <c r="BN100" s="992" t="s">
        <v>1928</v>
      </c>
    </row>
    <row r="101" spans="52:66" ht="22.5" customHeight="1">
      <c r="AZ101" s="1819" t="s">
        <v>1929</v>
      </c>
      <c r="BA101" s="1820" t="s">
        <v>1930</v>
      </c>
      <c r="BN101" s="992" t="s">
        <v>1931</v>
      </c>
    </row>
    <row r="102" spans="52:66" ht="22.5" customHeight="1">
      <c r="AZ102" s="1819" t="s">
        <v>1932</v>
      </c>
      <c r="BA102" s="182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2" t="s">
        <v>1933</v>
      </c>
    </row>
    <row r="103" spans="52:66" ht="11.25" customHeight="1">
      <c r="AZ103" s="1819" t="s">
        <v>1934</v>
      </c>
      <c r="BA103" s="1820" t="s">
        <v>1935</v>
      </c>
      <c r="BN103" s="992" t="s">
        <v>1936</v>
      </c>
    </row>
    <row r="104" spans="52:66" ht="11.25" customHeight="1">
      <c r="BN104" s="992" t="s">
        <v>1937</v>
      </c>
    </row>
    <row r="105" spans="52:66" ht="11.25" customHeight="1">
      <c r="AZ105" s="1613" t="s">
        <v>1938</v>
      </c>
    </row>
    <row r="106" spans="52:66" ht="11.25" customHeight="1">
      <c r="AZ106" s="1041" t="s">
        <v>1939</v>
      </c>
    </row>
    <row r="107" spans="52:66" ht="11.25" customHeight="1">
      <c r="AZ107" s="1041" t="s">
        <v>1940</v>
      </c>
      <c r="BH107" s="991" t="s">
        <v>1941</v>
      </c>
      <c r="BJ107" s="991" t="s">
        <v>1942</v>
      </c>
      <c r="BL107" s="991" t="s">
        <v>1943</v>
      </c>
      <c r="BN107" s="991" t="s">
        <v>1944</v>
      </c>
    </row>
    <row r="108" spans="52:66" ht="11.25" customHeight="1">
      <c r="AZ108" s="1041" t="s">
        <v>663</v>
      </c>
      <c r="BH108" s="992" t="s">
        <v>1945</v>
      </c>
      <c r="BJ108" s="992" t="s">
        <v>1946</v>
      </c>
      <c r="BL108" s="992" t="s">
        <v>1601</v>
      </c>
      <c r="BN108" s="992" t="s">
        <v>1947</v>
      </c>
    </row>
    <row r="109" spans="52:66" ht="11.25" customHeight="1">
      <c r="BH109" s="992" t="s">
        <v>1948</v>
      </c>
    </row>
    <row r="110" spans="52:66" ht="11.25" customHeight="1">
      <c r="AZ110" s="1613" t="s">
        <v>1949</v>
      </c>
      <c r="BH110" s="992" t="s">
        <v>1948</v>
      </c>
    </row>
    <row r="111" spans="52:66" ht="11.25" customHeight="1">
      <c r="AZ111" s="1819" t="s">
        <v>1910</v>
      </c>
      <c r="BA111" s="1820" t="s">
        <v>1911</v>
      </c>
    </row>
    <row r="112" spans="52:66" ht="11.25" customHeight="1">
      <c r="AZ112" s="1819" t="s">
        <v>1916</v>
      </c>
      <c r="BA112" s="1820" t="s">
        <v>1917</v>
      </c>
    </row>
    <row r="113" spans="52:60" ht="22.5" customHeight="1">
      <c r="AZ113" s="1819" t="s">
        <v>1922</v>
      </c>
      <c r="BA113" s="182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9" t="s">
        <v>1927</v>
      </c>
      <c r="BA114" s="182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1" t="s">
        <v>1950</v>
      </c>
    </row>
    <row r="115" spans="52:60" ht="22.5" customHeight="1">
      <c r="AZ115" s="1819" t="s">
        <v>1932</v>
      </c>
      <c r="BA115" s="182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2" t="s">
        <v>611</v>
      </c>
    </row>
    <row r="116" spans="52:60" ht="11.25" customHeight="1">
      <c r="AZ116" s="1819" t="s">
        <v>1934</v>
      </c>
      <c r="BA116" s="1820" t="s">
        <v>1935</v>
      </c>
      <c r="BH116" s="992" t="s">
        <v>1340</v>
      </c>
    </row>
    <row r="117" spans="52:60" ht="11.25" customHeight="1">
      <c r="BH117" s="992" t="s">
        <v>1375</v>
      </c>
    </row>
    <row r="118" spans="52:60" ht="11.25" customHeight="1">
      <c r="BH118" s="992" t="s">
        <v>1408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293" hidden="1" customWidth="1"/>
    <col min="3" max="3" width="3" style="4296" customWidth="1"/>
    <col min="4" max="4" width="6" style="4297" customWidth="1"/>
    <col min="5" max="5" width="52" style="4296" customWidth="1"/>
    <col min="6" max="6" width="48" style="4296" customWidth="1"/>
    <col min="7" max="7" width="93" style="4296" customWidth="1"/>
    <col min="8" max="8" width="8" style="4296" customWidth="1"/>
    <col min="9" max="9" width="64" style="4296" customWidth="1"/>
    <col min="10" max="10" width="9.140625" style="4296" hidden="1"/>
  </cols>
  <sheetData>
    <row r="1" spans="1:10" ht="11.25" hidden="1" customHeight="1">
      <c r="A1" s="439" t="s">
        <v>392</v>
      </c>
      <c r="J1" s="393" t="s">
        <v>14</v>
      </c>
    </row>
    <row r="2" spans="1:10" ht="22.5" hidden="1" customHeight="1">
      <c r="A2" s="440"/>
      <c r="B2" s="440"/>
      <c r="C2" s="1650" t="s">
        <v>104</v>
      </c>
      <c r="D2" s="1441"/>
      <c r="E2" s="1447"/>
      <c r="F2" s="1470"/>
      <c r="H2" s="413"/>
      <c r="J2" s="393">
        <v>0</v>
      </c>
    </row>
    <row r="3" spans="1:10" ht="11.25" hidden="1" customHeight="1">
      <c r="J3" s="393">
        <v>0</v>
      </c>
    </row>
    <row r="4" spans="1:10" ht="11.45" customHeight="1">
      <c r="A4" s="1471"/>
      <c r="B4" s="1471"/>
      <c r="J4" s="393">
        <v>11</v>
      </c>
    </row>
    <row r="5" spans="1:10" ht="27.4" customHeight="1">
      <c r="D5" s="53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5322"/>
      <c r="F5" s="5323"/>
      <c r="I5" s="653"/>
      <c r="J5" s="393">
        <v>26</v>
      </c>
    </row>
    <row r="6" spans="1:10" ht="18" customHeight="1">
      <c r="D6" s="5423" t="str">
        <f>IF(region_name=0,"Не определено",region_name)</f>
        <v>Приморский край</v>
      </c>
      <c r="E6" s="5423"/>
      <c r="F6" s="5423"/>
      <c r="I6" s="653"/>
      <c r="J6" s="393">
        <v>17</v>
      </c>
    </row>
    <row r="7" spans="1:10" s="4292" customFormat="1" ht="11.45" customHeight="1">
      <c r="A7" s="439"/>
      <c r="B7" s="439"/>
      <c r="D7" s="652"/>
      <c r="E7" s="652"/>
      <c r="F7" s="690"/>
      <c r="G7" s="652"/>
      <c r="J7" s="415">
        <v>11</v>
      </c>
    </row>
    <row r="8" spans="1:10" ht="11.25" hidden="1" customHeight="1">
      <c r="A8" s="440"/>
      <c r="B8" s="440"/>
      <c r="C8" s="395"/>
      <c r="D8" s="401"/>
      <c r="E8" s="5429"/>
      <c r="F8" s="5429"/>
      <c r="J8" s="393">
        <v>0</v>
      </c>
    </row>
    <row r="9" spans="1:10" ht="11.45" customHeight="1">
      <c r="A9" s="440"/>
      <c r="B9" s="440"/>
      <c r="C9" s="395"/>
      <c r="D9" s="5426" t="s">
        <v>393</v>
      </c>
      <c r="E9" s="5427"/>
      <c r="F9" s="5427"/>
      <c r="G9" s="5430" t="s">
        <v>394</v>
      </c>
      <c r="J9" s="393">
        <v>11</v>
      </c>
    </row>
    <row r="10" spans="1:10" ht="11.45" customHeight="1">
      <c r="A10" s="440"/>
      <c r="B10" s="440"/>
      <c r="C10" s="395"/>
      <c r="D10" s="1395" t="s">
        <v>88</v>
      </c>
      <c r="E10" s="1397" t="s">
        <v>395</v>
      </c>
      <c r="F10" s="1397" t="s">
        <v>396</v>
      </c>
      <c r="G10" s="5431"/>
      <c r="J10" s="393">
        <v>11</v>
      </c>
    </row>
    <row r="11" spans="1:10" ht="1.1499999999999999" customHeight="1">
      <c r="A11" s="440"/>
      <c r="B11" s="440"/>
      <c r="C11" s="395"/>
      <c r="D11" s="402"/>
      <c r="E11" s="402"/>
      <c r="F11" s="402"/>
      <c r="G11" s="402"/>
      <c r="J11" s="393">
        <v>1</v>
      </c>
    </row>
    <row r="12" spans="1:10" ht="24" customHeight="1">
      <c r="A12" s="440"/>
      <c r="B12" s="440"/>
      <c r="C12" s="395"/>
      <c r="D12" s="1441">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6" t="str">
        <f>IF(org="","",org)</f>
        <v>КГУП "Примтеплоэнерго"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4"/>
      <c r="J12" s="393">
        <v>23</v>
      </c>
    </row>
    <row r="13" spans="1:10" ht="19.899999999999999" customHeight="1">
      <c r="A13" s="440"/>
      <c r="B13" s="440"/>
      <c r="C13" s="395"/>
      <c r="D13" s="1441">
        <v>2</v>
      </c>
      <c r="E13" s="1448" t="s">
        <v>1951</v>
      </c>
      <c r="F13" s="1442" t="s">
        <v>399</v>
      </c>
      <c r="G13" s="412"/>
      <c r="H13" s="1454"/>
      <c r="J13" s="393">
        <v>19</v>
      </c>
    </row>
    <row r="14" spans="1:10" ht="19.899999999999999" customHeight="1">
      <c r="A14" s="440"/>
      <c r="B14" s="440"/>
      <c r="C14" s="395"/>
      <c r="D14" s="1444" t="s">
        <v>800</v>
      </c>
      <c r="E14" s="1445" t="s">
        <v>1952</v>
      </c>
      <c r="F14" s="1447"/>
      <c r="G14" s="1446" t="s">
        <v>1953</v>
      </c>
      <c r="H14" s="1454"/>
      <c r="J14" s="393">
        <v>19</v>
      </c>
    </row>
    <row r="15" spans="1:10" ht="19.899999999999999" customHeight="1">
      <c r="A15" s="440"/>
      <c r="B15" s="440"/>
      <c r="C15" s="395"/>
      <c r="D15" s="1444" t="s">
        <v>400</v>
      </c>
      <c r="E15" s="1445" t="s">
        <v>1954</v>
      </c>
      <c r="F15" s="1447"/>
      <c r="G15" s="1446" t="s">
        <v>1955</v>
      </c>
      <c r="H15" s="1454"/>
      <c r="J15" s="393">
        <v>19</v>
      </c>
    </row>
    <row r="16" spans="1:10" ht="24" customHeight="1">
      <c r="A16" s="440"/>
      <c r="B16" s="440"/>
      <c r="C16" s="395"/>
      <c r="D16" s="1444" t="s">
        <v>403</v>
      </c>
      <c r="E16" s="1443" t="s">
        <v>1956</v>
      </c>
      <c r="F16" s="1452"/>
      <c r="G16" s="412" t="s">
        <v>1957</v>
      </c>
      <c r="H16" s="1454"/>
      <c r="J16" s="393">
        <v>23</v>
      </c>
    </row>
    <row r="17" spans="1:10" ht="48.2" customHeight="1">
      <c r="A17" s="440"/>
      <c r="B17" s="440"/>
      <c r="C17" s="395"/>
      <c r="D17" s="1441">
        <v>3</v>
      </c>
      <c r="E17" s="1448" t="s">
        <v>1958</v>
      </c>
      <c r="F17" s="1447"/>
      <c r="G17" s="412" t="s">
        <v>1959</v>
      </c>
      <c r="H17" s="1454"/>
      <c r="J17" s="393">
        <v>46</v>
      </c>
    </row>
    <row r="18" spans="1:10" ht="48.2" customHeight="1">
      <c r="A18" s="1396">
        <v>1</v>
      </c>
      <c r="B18" s="440"/>
      <c r="C18" s="1398"/>
      <c r="D18" s="1441" t="s">
        <v>91</v>
      </c>
      <c r="E18" s="1448" t="s">
        <v>1960</v>
      </c>
      <c r="F18" s="1447"/>
      <c r="G18" s="412" t="s">
        <v>1959</v>
      </c>
      <c r="H18" s="1454"/>
      <c r="I18" s="780"/>
      <c r="J18" s="393">
        <v>46</v>
      </c>
    </row>
    <row r="19" spans="1:10" ht="23.25" customHeight="1">
      <c r="A19" s="440"/>
      <c r="B19" s="440"/>
      <c r="C19" s="395"/>
      <c r="D19" s="1441" t="s">
        <v>116</v>
      </c>
      <c r="E19" s="1448" t="s">
        <v>1961</v>
      </c>
      <c r="F19" s="1442" t="s">
        <v>399</v>
      </c>
      <c r="G19" s="5637" t="s">
        <v>1962</v>
      </c>
      <c r="H19" s="413"/>
      <c r="J19" s="393">
        <v>22</v>
      </c>
    </row>
    <row r="20" spans="1:10" s="5275" customFormat="1" ht="5.25" hidden="1" customHeight="1">
      <c r="A20" s="440"/>
      <c r="B20" s="440"/>
      <c r="C20" s="1450"/>
      <c r="D20" s="1449" t="s">
        <v>1207</v>
      </c>
      <c r="E20" s="939"/>
      <c r="F20" s="938"/>
      <c r="G20" s="5638"/>
      <c r="J20" s="1451">
        <v>0</v>
      </c>
    </row>
    <row r="21" spans="1:10" ht="15.75" customHeight="1">
      <c r="A21" s="440"/>
      <c r="B21" s="440"/>
      <c r="C21" s="395"/>
      <c r="D21" s="405"/>
      <c r="E21" s="353" t="s">
        <v>432</v>
      </c>
      <c r="F21" s="407"/>
      <c r="G21" s="5639"/>
      <c r="H21" s="1454"/>
      <c r="J21" s="393">
        <v>15</v>
      </c>
    </row>
    <row r="22" spans="1:10" s="4293" customFormat="1" ht="26.25" customHeight="1">
      <c r="A22" s="440"/>
      <c r="B22" s="440"/>
      <c r="C22" s="440"/>
      <c r="D22" s="1441" t="s">
        <v>92</v>
      </c>
      <c r="E22" s="412" t="s">
        <v>1963</v>
      </c>
      <c r="F22" s="1447"/>
      <c r="G22" s="412" t="s">
        <v>1964</v>
      </c>
      <c r="H22" s="1453"/>
      <c r="J22" s="439">
        <v>25</v>
      </c>
    </row>
    <row r="23" spans="1:10" s="4293" customFormat="1" ht="19.899999999999999" customHeight="1">
      <c r="A23" s="440"/>
      <c r="B23" s="440"/>
      <c r="C23" s="440"/>
      <c r="D23" s="1441" t="s">
        <v>93</v>
      </c>
      <c r="E23" s="1448" t="s">
        <v>1965</v>
      </c>
      <c r="F23" s="1452"/>
      <c r="G23" s="412" t="s">
        <v>1966</v>
      </c>
      <c r="H23" s="1453"/>
      <c r="J23" s="439">
        <v>19</v>
      </c>
    </row>
    <row r="24" spans="1:10" s="4293" customFormat="1" ht="144" hidden="1" customHeight="1">
      <c r="A24" s="440"/>
      <c r="B24" s="440"/>
      <c r="C24" s="440"/>
      <c r="D24" s="1441" t="s">
        <v>129</v>
      </c>
      <c r="E24" s="181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6"/>
      <c r="G24" s="181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3"/>
      <c r="J24" s="439">
        <v>0</v>
      </c>
    </row>
    <row r="25" spans="1:10" ht="11.25" hidden="1" customHeight="1">
      <c r="A25" s="439" t="s">
        <v>82</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4267" hidden="1"/>
    <col min="2" max="2" width="9.140625" style="4274" hidden="1"/>
    <col min="3" max="3" width="3.7109375" style="4267" hidden="1" customWidth="1"/>
    <col min="4" max="4" width="3" style="4280" customWidth="1"/>
    <col min="5" max="5" width="6" style="4267" customWidth="1"/>
    <col min="6" max="6" width="46" style="4267" customWidth="1"/>
    <col min="7" max="8" width="16" style="4267" customWidth="1"/>
    <col min="9" max="9" width="35" style="4267" customWidth="1"/>
    <col min="10" max="10" width="89" style="4267" customWidth="1"/>
    <col min="11" max="11" width="3" style="4281" customWidth="1"/>
    <col min="12" max="14" width="8" style="4281" customWidth="1"/>
    <col min="15" max="15" width="25" style="4281" customWidth="1"/>
    <col min="16" max="16" width="14" style="4281" customWidth="1"/>
    <col min="17" max="20" width="8" style="4282" customWidth="1"/>
    <col min="21" max="254" width="8" style="4267" customWidth="1"/>
    <col min="255" max="255" width="9.140625" style="4267" hidden="1"/>
  </cols>
  <sheetData>
    <row r="1" spans="1:255" ht="22.5" hidden="1" customHeight="1">
      <c r="F1" s="1552" t="s">
        <v>1967</v>
      </c>
      <c r="G1" s="1552" t="s">
        <v>49</v>
      </c>
      <c r="H1" s="1552" t="s">
        <v>51</v>
      </c>
      <c r="IU1" s="1076" t="s">
        <v>14</v>
      </c>
    </row>
    <row r="2" spans="1:255" s="4278" customFormat="1" ht="22.5" hidden="1" customHeight="1">
      <c r="A2" s="763"/>
      <c r="B2" s="1081">
        <v>1</v>
      </c>
      <c r="C2" s="1081"/>
      <c r="D2" s="1843" t="s">
        <v>104</v>
      </c>
      <c r="E2" s="1405"/>
      <c r="F2" s="1412"/>
      <c r="G2" s="1412"/>
      <c r="H2" s="1412"/>
      <c r="I2" s="1899"/>
      <c r="J2" s="1900"/>
      <c r="K2" s="1456"/>
      <c r="L2" s="449"/>
      <c r="M2" s="449"/>
      <c r="N2" s="438" t="str">
        <f t="array" ref="N2">IF(ISERROR(MATCH(MID(O2,1,250),MID(note_ter,1,250),0)),"n","y")</f>
        <v>n</v>
      </c>
      <c r="O2" s="449"/>
      <c r="P2" s="438" t="str">
        <f>G2&amp;"("&amp;J2&amp;")"</f>
        <v>()</v>
      </c>
      <c r="Q2" s="1081"/>
      <c r="R2" s="1081"/>
      <c r="S2" s="358"/>
      <c r="T2" s="1081"/>
      <c r="U2" s="1081"/>
      <c r="V2" s="1081"/>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4275" customFormat="1" ht="4.1500000000000004" customHeight="1">
      <c r="A3" s="434"/>
      <c r="D3" s="432"/>
      <c r="F3" s="185" t="s">
        <v>83</v>
      </c>
      <c r="G3" s="432" t="s">
        <v>84</v>
      </c>
      <c r="H3" s="432"/>
      <c r="I3" s="432"/>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4277" customFormat="1" ht="14.65" customHeight="1">
      <c r="A4" s="1076"/>
      <c r="B4" s="1081"/>
      <c r="C4" s="1076"/>
      <c r="D4" s="1416"/>
      <c r="E4" s="447"/>
      <c r="F4" s="1563"/>
      <c r="G4" s="447"/>
      <c r="H4" s="447"/>
      <c r="I4" s="447"/>
      <c r="J4" s="104"/>
      <c r="K4" s="185"/>
      <c r="L4" s="438"/>
      <c r="M4" s="438"/>
      <c r="N4" s="438"/>
      <c r="O4" s="164"/>
      <c r="P4" s="438"/>
      <c r="Q4" s="163"/>
      <c r="R4" s="163"/>
      <c r="S4" s="163"/>
      <c r="T4" s="163"/>
      <c r="IU4" s="445">
        <v>14</v>
      </c>
    </row>
    <row r="5" spans="1:255" s="4277" customFormat="1" ht="27.4" customHeight="1">
      <c r="A5" s="1076"/>
      <c r="B5" s="1081"/>
      <c r="C5" s="1076"/>
      <c r="D5" s="1416"/>
      <c r="E5" s="531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5313"/>
      <c r="G5" s="5313"/>
      <c r="H5" s="5313"/>
      <c r="I5" s="5313"/>
      <c r="J5" s="5313"/>
      <c r="K5" s="185"/>
      <c r="L5" s="438"/>
      <c r="M5" s="438"/>
      <c r="N5" s="438"/>
      <c r="O5" s="164"/>
      <c r="P5" s="438"/>
      <c r="Q5" s="163"/>
      <c r="R5" s="163"/>
      <c r="S5" s="163"/>
      <c r="T5" s="163"/>
      <c r="IU5" s="445">
        <v>26</v>
      </c>
    </row>
    <row r="6" spans="1:255" s="4277" customFormat="1" ht="14.65" customHeight="1">
      <c r="A6" s="1076"/>
      <c r="B6" s="1081"/>
      <c r="C6" s="1076"/>
      <c r="D6" s="1416"/>
      <c r="E6" s="447"/>
      <c r="F6" s="105"/>
      <c r="G6" s="105"/>
      <c r="H6" s="105"/>
      <c r="I6" s="105"/>
      <c r="J6" s="106"/>
      <c r="K6" s="438"/>
      <c r="L6" s="438"/>
      <c r="M6" s="438"/>
      <c r="N6" s="438"/>
      <c r="O6" s="164"/>
      <c r="P6" s="438"/>
      <c r="Q6" s="163"/>
      <c r="R6" s="163"/>
      <c r="S6" s="163"/>
      <c r="T6" s="163"/>
      <c r="IU6" s="445">
        <v>14</v>
      </c>
    </row>
    <row r="7" spans="1:255" s="4277" customFormat="1" ht="14.65" customHeight="1">
      <c r="A7" s="1076"/>
      <c r="B7" s="1081"/>
      <c r="C7" s="1076"/>
      <c r="D7" s="1416"/>
      <c r="E7" s="5309" t="s">
        <v>393</v>
      </c>
      <c r="F7" s="5314"/>
      <c r="G7" s="5314"/>
      <c r="H7" s="5314"/>
      <c r="I7" s="5314"/>
      <c r="J7" s="5640" t="s">
        <v>394</v>
      </c>
      <c r="K7" s="438"/>
      <c r="L7" s="438"/>
      <c r="M7" s="438"/>
      <c r="N7" s="438"/>
      <c r="O7" s="164"/>
      <c r="P7" s="438"/>
      <c r="Q7" s="163"/>
      <c r="R7" s="163"/>
      <c r="S7" s="163"/>
      <c r="T7" s="163"/>
      <c r="IU7" s="445">
        <v>14</v>
      </c>
    </row>
    <row r="8" spans="1:255" s="4277" customFormat="1" ht="21" customHeight="1">
      <c r="A8" s="1076"/>
      <c r="B8" s="1081"/>
      <c r="C8" s="1076"/>
      <c r="D8" s="1416"/>
      <c r="E8" s="1469" t="s">
        <v>88</v>
      </c>
      <c r="F8" s="1461" t="s">
        <v>1967</v>
      </c>
      <c r="G8" s="1461" t="s">
        <v>49</v>
      </c>
      <c r="H8" s="1461" t="s">
        <v>51</v>
      </c>
      <c r="I8" s="1461" t="s">
        <v>1968</v>
      </c>
      <c r="J8" s="5641"/>
      <c r="K8" s="438"/>
      <c r="L8" s="438"/>
      <c r="M8" s="438"/>
      <c r="N8" s="438"/>
      <c r="O8" s="164"/>
      <c r="P8" s="438"/>
      <c r="Q8" s="163"/>
      <c r="R8" s="163"/>
      <c r="S8" s="163"/>
      <c r="T8" s="163"/>
      <c r="IU8" s="445">
        <v>20</v>
      </c>
    </row>
    <row r="9" spans="1:255" s="4278" customFormat="1" ht="23.25" customHeight="1">
      <c r="A9" s="1552"/>
      <c r="B9" s="1081">
        <v>1</v>
      </c>
      <c r="C9" s="1081"/>
      <c r="D9" s="733"/>
      <c r="E9" s="1405">
        <v>1</v>
      </c>
      <c r="F9" s="1468"/>
      <c r="G9" s="1412"/>
      <c r="H9" s="1412"/>
      <c r="I9" s="1459"/>
      <c r="J9" s="53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6"/>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1"/>
      <c r="R9" s="1081"/>
      <c r="S9" s="358"/>
      <c r="T9" s="1081"/>
      <c r="U9" s="1081"/>
      <c r="V9" s="1081"/>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4278" customFormat="1" ht="15.75" customHeight="1">
      <c r="A10" s="1552"/>
      <c r="B10" s="1081"/>
      <c r="C10" s="350"/>
      <c r="D10" s="733"/>
      <c r="E10" s="1462"/>
      <c r="F10" s="1421" t="s">
        <v>1969</v>
      </c>
      <c r="G10" s="1463"/>
      <c r="H10" s="1463"/>
      <c r="I10" s="1817"/>
      <c r="J10" s="5379"/>
      <c r="K10" s="1457"/>
      <c r="L10" s="449"/>
      <c r="M10" s="449"/>
      <c r="N10" s="449"/>
      <c r="O10" s="438"/>
      <c r="P10" s="449"/>
      <c r="Q10" s="1081"/>
      <c r="R10" s="1081"/>
      <c r="S10" s="358"/>
      <c r="T10" s="1081"/>
      <c r="U10" s="1081"/>
      <c r="V10" s="1081"/>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4277" customFormat="1" ht="21.95" customHeight="1">
      <c r="A11" s="1076"/>
      <c r="B11" s="1081"/>
      <c r="C11" s="1076"/>
      <c r="D11" s="389"/>
      <c r="E11" s="118"/>
      <c r="F11" s="118"/>
      <c r="G11" s="118"/>
      <c r="H11" s="118"/>
      <c r="I11" s="118"/>
      <c r="J11" s="118"/>
      <c r="K11" s="438"/>
      <c r="L11" s="438"/>
      <c r="M11" s="438"/>
      <c r="N11" s="438"/>
      <c r="O11" s="164"/>
      <c r="P11" s="438"/>
      <c r="Q11" s="163"/>
      <c r="R11" s="163"/>
      <c r="S11" s="163"/>
      <c r="T11" s="163"/>
      <c r="IU11" s="445">
        <v>21</v>
      </c>
    </row>
    <row r="12" spans="1:255" s="4277" customFormat="1" ht="14.65" customHeight="1">
      <c r="A12" s="1076"/>
      <c r="B12" s="1081"/>
      <c r="C12" s="1076"/>
      <c r="D12" s="389"/>
      <c r="E12" s="1076"/>
      <c r="F12" s="1076"/>
      <c r="G12" s="1076"/>
      <c r="H12" s="1076"/>
      <c r="I12" s="1076"/>
      <c r="J12" s="1076"/>
      <c r="K12" s="438"/>
      <c r="L12" s="438"/>
      <c r="M12" s="438"/>
      <c r="N12" s="438"/>
      <c r="O12" s="164"/>
      <c r="P12" s="438"/>
      <c r="Q12" s="163"/>
      <c r="R12" s="163"/>
      <c r="S12" s="163"/>
      <c r="T12" s="163"/>
      <c r="IU12" s="445">
        <v>14</v>
      </c>
    </row>
    <row r="13" spans="1:255" s="4277" customFormat="1" ht="1.1499999999999999" customHeight="1">
      <c r="A13" s="1076"/>
      <c r="B13" s="1081"/>
      <c r="C13" s="1076"/>
      <c r="D13" s="389"/>
      <c r="E13" s="1076"/>
      <c r="F13" s="1076"/>
      <c r="G13" s="1076"/>
      <c r="H13" s="1076"/>
      <c r="I13" s="1076"/>
      <c r="J13" s="1076"/>
      <c r="K13" s="438"/>
      <c r="L13" s="438"/>
      <c r="M13" s="438"/>
      <c r="N13" s="438"/>
      <c r="O13" s="164"/>
      <c r="P13" s="438"/>
      <c r="Q13" s="163"/>
      <c r="R13" s="163"/>
      <c r="S13" s="163"/>
      <c r="T13" s="163"/>
      <c r="IU13" s="445">
        <v>1</v>
      </c>
    </row>
    <row r="14" spans="1:255" s="4279" customFormat="1" ht="10.5" customHeight="1">
      <c r="B14" s="766"/>
      <c r="D14" s="120"/>
      <c r="K14" s="438"/>
      <c r="L14" s="438"/>
      <c r="M14" s="438"/>
      <c r="N14" s="438"/>
      <c r="O14" s="164"/>
      <c r="P14" s="438"/>
      <c r="Q14" s="163"/>
      <c r="R14" s="163"/>
      <c r="S14" s="163"/>
      <c r="T14" s="163"/>
      <c r="IU14" s="119">
        <v>10</v>
      </c>
    </row>
    <row r="15" spans="1:255" s="4279" customFormat="1" ht="10.5" customHeight="1">
      <c r="B15" s="766"/>
      <c r="D15" s="120"/>
      <c r="K15" s="438"/>
      <c r="L15" s="438"/>
      <c r="M15" s="438"/>
      <c r="N15" s="438"/>
      <c r="O15" s="164"/>
      <c r="P15" s="438"/>
      <c r="Q15" s="163"/>
      <c r="R15" s="163"/>
      <c r="S15" s="163"/>
      <c r="T15" s="163"/>
      <c r="IU15" s="119">
        <v>10</v>
      </c>
    </row>
    <row r="16" spans="1:255" ht="14.65" customHeight="1">
      <c r="IU16" s="1076">
        <v>14</v>
      </c>
    </row>
    <row r="17" spans="1:255" ht="14.65" customHeight="1">
      <c r="IU17" s="1076">
        <v>14</v>
      </c>
    </row>
    <row r="18" spans="1:255" ht="14.65" customHeight="1">
      <c r="IU18" s="1076">
        <v>14</v>
      </c>
    </row>
    <row r="19" spans="1:255" ht="14.65" customHeight="1">
      <c r="G19" s="311"/>
      <c r="H19" s="311"/>
      <c r="I19" s="311"/>
      <c r="IU19" s="1076">
        <v>14</v>
      </c>
    </row>
    <row r="20" spans="1:255" ht="14.65" customHeight="1">
      <c r="IU20" s="1076">
        <v>14</v>
      </c>
    </row>
    <row r="21" spans="1:255" ht="14.65" customHeight="1">
      <c r="IU21" s="1076">
        <v>14</v>
      </c>
    </row>
    <row r="22" spans="1:255" ht="14.65" customHeight="1">
      <c r="IU22" s="1076">
        <v>14</v>
      </c>
    </row>
    <row r="23" spans="1:255" ht="14.65" customHeight="1">
      <c r="K23" s="1076"/>
      <c r="L23" s="1076"/>
      <c r="M23" s="1076"/>
      <c r="IU23" s="1076">
        <v>14</v>
      </c>
    </row>
    <row r="24" spans="1:255" ht="22.5" hidden="1" customHeight="1">
      <c r="A24" s="1076" t="s">
        <v>82</v>
      </c>
      <c r="B24" s="1081">
        <v>0</v>
      </c>
      <c r="C24" s="1076">
        <v>0</v>
      </c>
      <c r="D24" s="389">
        <v>3</v>
      </c>
      <c r="E24" s="1076">
        <v>6</v>
      </c>
      <c r="F24" s="1076">
        <v>46</v>
      </c>
      <c r="G24" s="1076">
        <v>16</v>
      </c>
      <c r="H24" s="1076">
        <v>16</v>
      </c>
      <c r="I24" s="1076">
        <v>35</v>
      </c>
      <c r="J24" s="1076">
        <v>89</v>
      </c>
      <c r="K24" s="438">
        <v>3</v>
      </c>
      <c r="L24" s="438">
        <v>8</v>
      </c>
      <c r="M24" s="438">
        <v>8</v>
      </c>
      <c r="N24" s="438">
        <v>8</v>
      </c>
      <c r="O24" s="164">
        <v>25</v>
      </c>
      <c r="P24" s="438">
        <v>14</v>
      </c>
      <c r="Q24" s="163">
        <v>8</v>
      </c>
      <c r="R24" s="163">
        <v>8</v>
      </c>
      <c r="S24" s="163">
        <v>8</v>
      </c>
      <c r="T24" s="163">
        <v>8</v>
      </c>
      <c r="U24" s="1076">
        <v>8</v>
      </c>
      <c r="V24" s="1076">
        <v>8</v>
      </c>
      <c r="W24" s="1076">
        <v>8</v>
      </c>
      <c r="X24" s="1076">
        <v>8</v>
      </c>
      <c r="Y24" s="1076">
        <v>8</v>
      </c>
      <c r="Z24" s="1076">
        <v>8</v>
      </c>
      <c r="AA24" s="1076">
        <v>8</v>
      </c>
      <c r="AB24" s="1076">
        <v>8</v>
      </c>
      <c r="AC24" s="1076">
        <v>8</v>
      </c>
      <c r="AD24" s="1076">
        <v>8</v>
      </c>
      <c r="AE24" s="1076">
        <v>8</v>
      </c>
      <c r="AF24" s="1076">
        <v>8</v>
      </c>
      <c r="AG24" s="1076">
        <v>8</v>
      </c>
      <c r="AH24" s="1076">
        <v>8</v>
      </c>
      <c r="AI24" s="1076">
        <v>8</v>
      </c>
      <c r="AJ24" s="1076">
        <v>8</v>
      </c>
      <c r="AK24" s="1076">
        <v>8</v>
      </c>
      <c r="AL24" s="1076">
        <v>8</v>
      </c>
      <c r="AM24" s="1076">
        <v>8</v>
      </c>
      <c r="AN24" s="1076">
        <v>8</v>
      </c>
      <c r="AO24" s="1076">
        <v>8</v>
      </c>
      <c r="AP24" s="1076">
        <v>8</v>
      </c>
      <c r="AQ24" s="1076">
        <v>8</v>
      </c>
      <c r="AR24" s="1076">
        <v>8</v>
      </c>
      <c r="AS24" s="1076">
        <v>8</v>
      </c>
      <c r="AT24" s="1076">
        <v>8</v>
      </c>
      <c r="AU24" s="1076">
        <v>8</v>
      </c>
      <c r="AV24" s="1076">
        <v>8</v>
      </c>
      <c r="AW24" s="1076">
        <v>8</v>
      </c>
      <c r="AX24" s="1076">
        <v>8</v>
      </c>
      <c r="AY24" s="1076">
        <v>8</v>
      </c>
      <c r="AZ24" s="1076">
        <v>8</v>
      </c>
      <c r="BA24" s="1076">
        <v>8</v>
      </c>
      <c r="BB24" s="1076">
        <v>8</v>
      </c>
      <c r="BC24" s="1076">
        <v>8</v>
      </c>
      <c r="BD24" s="1076">
        <v>8</v>
      </c>
      <c r="BE24" s="1076">
        <v>8</v>
      </c>
      <c r="BF24" s="1076">
        <v>8</v>
      </c>
      <c r="BG24" s="1076">
        <v>8</v>
      </c>
      <c r="BH24" s="1076">
        <v>8</v>
      </c>
      <c r="BI24" s="1076">
        <v>8</v>
      </c>
      <c r="BJ24" s="1076">
        <v>8</v>
      </c>
      <c r="BK24" s="1076">
        <v>8</v>
      </c>
      <c r="BL24" s="1076">
        <v>8</v>
      </c>
      <c r="BM24" s="1076">
        <v>8</v>
      </c>
      <c r="BN24" s="1076">
        <v>8</v>
      </c>
      <c r="BO24" s="1076">
        <v>8</v>
      </c>
      <c r="BP24" s="1076">
        <v>8</v>
      </c>
      <c r="BQ24" s="1076">
        <v>8</v>
      </c>
      <c r="BR24" s="1076">
        <v>8</v>
      </c>
      <c r="BS24" s="1076">
        <v>8</v>
      </c>
      <c r="BT24" s="1076">
        <v>8</v>
      </c>
      <c r="BU24" s="1076">
        <v>8</v>
      </c>
      <c r="BV24" s="1076">
        <v>8</v>
      </c>
      <c r="BW24" s="1076">
        <v>8</v>
      </c>
      <c r="BX24" s="1076">
        <v>8</v>
      </c>
      <c r="BY24" s="1076">
        <v>8</v>
      </c>
      <c r="BZ24" s="1076">
        <v>8</v>
      </c>
      <c r="CA24" s="1076">
        <v>8</v>
      </c>
      <c r="CB24" s="1076">
        <v>8</v>
      </c>
      <c r="CC24" s="1076">
        <v>8</v>
      </c>
      <c r="CD24" s="1076">
        <v>8</v>
      </c>
      <c r="CE24" s="1076">
        <v>8</v>
      </c>
      <c r="CF24" s="1076">
        <v>8</v>
      </c>
      <c r="CG24" s="1076">
        <v>8</v>
      </c>
      <c r="CH24" s="1076">
        <v>8</v>
      </c>
      <c r="CI24" s="1076">
        <v>8</v>
      </c>
      <c r="CJ24" s="1076">
        <v>8</v>
      </c>
      <c r="CK24" s="1076">
        <v>8</v>
      </c>
      <c r="CL24" s="1076">
        <v>8</v>
      </c>
      <c r="CM24" s="1076">
        <v>8</v>
      </c>
      <c r="CN24" s="1076">
        <v>8</v>
      </c>
      <c r="CO24" s="1076">
        <v>8</v>
      </c>
      <c r="CP24" s="1076">
        <v>8</v>
      </c>
      <c r="CQ24" s="1076">
        <v>8</v>
      </c>
      <c r="CR24" s="1076">
        <v>8</v>
      </c>
      <c r="CS24" s="1076">
        <v>8</v>
      </c>
      <c r="CT24" s="1076">
        <v>8</v>
      </c>
      <c r="CU24" s="1076">
        <v>8</v>
      </c>
      <c r="CV24" s="1076">
        <v>8</v>
      </c>
      <c r="CW24" s="1076">
        <v>8</v>
      </c>
      <c r="CX24" s="1076">
        <v>8</v>
      </c>
      <c r="CY24" s="1076">
        <v>8</v>
      </c>
      <c r="CZ24" s="1076">
        <v>8</v>
      </c>
      <c r="DA24" s="1076">
        <v>8</v>
      </c>
      <c r="DB24" s="1076">
        <v>8</v>
      </c>
      <c r="DC24" s="1076">
        <v>8</v>
      </c>
      <c r="DD24" s="1076">
        <v>8</v>
      </c>
      <c r="DE24" s="1076">
        <v>8</v>
      </c>
      <c r="DF24" s="1076">
        <v>8</v>
      </c>
      <c r="DG24" s="1076">
        <v>8</v>
      </c>
      <c r="DH24" s="1076">
        <v>8</v>
      </c>
      <c r="DI24" s="1076">
        <v>8</v>
      </c>
      <c r="DJ24" s="1076">
        <v>8</v>
      </c>
      <c r="DK24" s="1076">
        <v>8</v>
      </c>
      <c r="DL24" s="1076">
        <v>8</v>
      </c>
      <c r="DM24" s="1076">
        <v>8</v>
      </c>
      <c r="DN24" s="1076">
        <v>8</v>
      </c>
      <c r="DO24" s="1076">
        <v>8</v>
      </c>
      <c r="DP24" s="1076">
        <v>8</v>
      </c>
      <c r="DQ24" s="1076">
        <v>8</v>
      </c>
      <c r="DR24" s="1076">
        <v>8</v>
      </c>
      <c r="DS24" s="1076">
        <v>8</v>
      </c>
      <c r="DT24" s="1076">
        <v>8</v>
      </c>
      <c r="DU24" s="1076">
        <v>8</v>
      </c>
      <c r="DV24" s="1076">
        <v>8</v>
      </c>
      <c r="DW24" s="1076">
        <v>8</v>
      </c>
      <c r="DX24" s="1076">
        <v>8</v>
      </c>
      <c r="DY24" s="1076">
        <v>8</v>
      </c>
      <c r="DZ24" s="1076">
        <v>8</v>
      </c>
      <c r="EA24" s="1076">
        <v>8</v>
      </c>
      <c r="EB24" s="1076">
        <v>8</v>
      </c>
      <c r="EC24" s="1076">
        <v>8</v>
      </c>
      <c r="ED24" s="1076">
        <v>8</v>
      </c>
      <c r="EE24" s="1076">
        <v>8</v>
      </c>
      <c r="EF24" s="1076">
        <v>8</v>
      </c>
      <c r="EG24" s="1076">
        <v>8</v>
      </c>
      <c r="EH24" s="1076">
        <v>8</v>
      </c>
      <c r="EI24" s="1076">
        <v>8</v>
      </c>
      <c r="EJ24" s="1076">
        <v>8</v>
      </c>
      <c r="EK24" s="1076">
        <v>8</v>
      </c>
      <c r="EL24" s="1076">
        <v>8</v>
      </c>
      <c r="EM24" s="1076">
        <v>8</v>
      </c>
      <c r="EN24" s="1076">
        <v>8</v>
      </c>
      <c r="EO24" s="1076">
        <v>8</v>
      </c>
      <c r="EP24" s="1076">
        <v>8</v>
      </c>
      <c r="EQ24" s="1076">
        <v>8</v>
      </c>
      <c r="ER24" s="1076">
        <v>8</v>
      </c>
      <c r="ES24" s="1076">
        <v>8</v>
      </c>
      <c r="ET24" s="1076">
        <v>8</v>
      </c>
      <c r="EU24" s="1076">
        <v>8</v>
      </c>
      <c r="EV24" s="1076">
        <v>8</v>
      </c>
      <c r="EW24" s="1076">
        <v>8</v>
      </c>
      <c r="EX24" s="1076">
        <v>8</v>
      </c>
      <c r="EY24" s="1076">
        <v>8</v>
      </c>
      <c r="EZ24" s="1076">
        <v>8</v>
      </c>
      <c r="FA24" s="1076">
        <v>8</v>
      </c>
      <c r="FB24" s="1076">
        <v>8</v>
      </c>
      <c r="FC24" s="1076">
        <v>8</v>
      </c>
      <c r="FD24" s="1076">
        <v>8</v>
      </c>
      <c r="FE24" s="1076">
        <v>8</v>
      </c>
      <c r="FF24" s="1076">
        <v>8</v>
      </c>
      <c r="FG24" s="1076">
        <v>8</v>
      </c>
      <c r="FH24" s="1076">
        <v>8</v>
      </c>
      <c r="FI24" s="1076">
        <v>8</v>
      </c>
      <c r="FJ24" s="1076">
        <v>8</v>
      </c>
      <c r="FK24" s="1076">
        <v>8</v>
      </c>
      <c r="FL24" s="1076">
        <v>8</v>
      </c>
      <c r="FM24" s="1076">
        <v>8</v>
      </c>
      <c r="FN24" s="1076">
        <v>8</v>
      </c>
      <c r="FO24" s="1076">
        <v>8</v>
      </c>
      <c r="FP24" s="1076">
        <v>8</v>
      </c>
      <c r="FQ24" s="1076">
        <v>8</v>
      </c>
      <c r="FR24" s="1076">
        <v>8</v>
      </c>
      <c r="FS24" s="1076">
        <v>8</v>
      </c>
      <c r="FT24" s="1076">
        <v>8</v>
      </c>
      <c r="FU24" s="1076">
        <v>8</v>
      </c>
      <c r="FV24" s="1076">
        <v>8</v>
      </c>
      <c r="FW24" s="1076">
        <v>8</v>
      </c>
      <c r="FX24" s="1076">
        <v>8</v>
      </c>
      <c r="FY24" s="1076">
        <v>8</v>
      </c>
      <c r="FZ24" s="1076">
        <v>8</v>
      </c>
      <c r="GA24" s="1076">
        <v>8</v>
      </c>
      <c r="GB24" s="1076">
        <v>8</v>
      </c>
      <c r="GC24" s="1076">
        <v>8</v>
      </c>
      <c r="GD24" s="1076">
        <v>8</v>
      </c>
      <c r="GE24" s="1076">
        <v>8</v>
      </c>
      <c r="GF24" s="1076">
        <v>8</v>
      </c>
      <c r="GG24" s="1076">
        <v>8</v>
      </c>
      <c r="GH24" s="1076">
        <v>8</v>
      </c>
      <c r="GI24" s="1076">
        <v>8</v>
      </c>
      <c r="GJ24" s="1076">
        <v>8</v>
      </c>
      <c r="GK24" s="1076">
        <v>8</v>
      </c>
      <c r="GL24" s="1076">
        <v>8</v>
      </c>
      <c r="GM24" s="1076">
        <v>8</v>
      </c>
      <c r="GN24" s="1076">
        <v>8</v>
      </c>
      <c r="GO24" s="1076">
        <v>8</v>
      </c>
      <c r="GP24" s="1076">
        <v>8</v>
      </c>
      <c r="GQ24" s="1076">
        <v>8</v>
      </c>
      <c r="GR24" s="1076">
        <v>8</v>
      </c>
      <c r="GS24" s="1076">
        <v>8</v>
      </c>
      <c r="GT24" s="1076">
        <v>8</v>
      </c>
      <c r="GU24" s="1076">
        <v>8</v>
      </c>
      <c r="GV24" s="1076">
        <v>8</v>
      </c>
      <c r="GW24" s="1076">
        <v>8</v>
      </c>
      <c r="GX24" s="1076">
        <v>8</v>
      </c>
      <c r="GY24" s="1076">
        <v>8</v>
      </c>
      <c r="GZ24" s="1076">
        <v>8</v>
      </c>
      <c r="HA24" s="1076">
        <v>8</v>
      </c>
      <c r="HB24" s="1076">
        <v>8</v>
      </c>
      <c r="HC24" s="1076">
        <v>8</v>
      </c>
      <c r="HD24" s="1076">
        <v>8</v>
      </c>
      <c r="HE24" s="1076">
        <v>8</v>
      </c>
      <c r="HF24" s="1076">
        <v>8</v>
      </c>
      <c r="HG24" s="1076">
        <v>8</v>
      </c>
      <c r="HH24" s="1076">
        <v>8</v>
      </c>
      <c r="HI24" s="1076">
        <v>8</v>
      </c>
      <c r="HJ24" s="1076">
        <v>8</v>
      </c>
      <c r="HK24" s="1076">
        <v>8</v>
      </c>
      <c r="HL24" s="1076">
        <v>8</v>
      </c>
      <c r="HM24" s="1076">
        <v>8</v>
      </c>
      <c r="HN24" s="1076">
        <v>8</v>
      </c>
      <c r="HO24" s="1076">
        <v>8</v>
      </c>
      <c r="HP24" s="1076">
        <v>8</v>
      </c>
      <c r="HQ24" s="1076">
        <v>8</v>
      </c>
      <c r="HR24" s="1076">
        <v>8</v>
      </c>
      <c r="HS24" s="1076">
        <v>8</v>
      </c>
      <c r="HT24" s="1076">
        <v>8</v>
      </c>
      <c r="HU24" s="1076">
        <v>8</v>
      </c>
      <c r="HV24" s="1076">
        <v>8</v>
      </c>
      <c r="HW24" s="1076">
        <v>8</v>
      </c>
      <c r="HX24" s="1076">
        <v>8</v>
      </c>
      <c r="HY24" s="1076">
        <v>8</v>
      </c>
      <c r="HZ24" s="1076">
        <v>8</v>
      </c>
      <c r="IA24" s="1076">
        <v>8</v>
      </c>
      <c r="IB24" s="1076">
        <v>8</v>
      </c>
      <c r="IC24" s="1076">
        <v>8</v>
      </c>
      <c r="ID24" s="1076">
        <v>8</v>
      </c>
      <c r="IE24" s="1076">
        <v>8</v>
      </c>
      <c r="IF24" s="1076">
        <v>8</v>
      </c>
      <c r="IG24" s="1076">
        <v>8</v>
      </c>
      <c r="IH24" s="1076">
        <v>8</v>
      </c>
      <c r="II24" s="1076">
        <v>8</v>
      </c>
      <c r="IJ24" s="1076">
        <v>8</v>
      </c>
      <c r="IK24" s="1076">
        <v>8</v>
      </c>
      <c r="IL24" s="1076">
        <v>8</v>
      </c>
      <c r="IM24" s="1076">
        <v>8</v>
      </c>
      <c r="IN24" s="1076">
        <v>8</v>
      </c>
      <c r="IO24" s="1076">
        <v>8</v>
      </c>
      <c r="IP24" s="1076">
        <v>8</v>
      </c>
      <c r="IQ24" s="1076">
        <v>8</v>
      </c>
      <c r="IR24" s="1076">
        <v>8</v>
      </c>
      <c r="IS24" s="1076">
        <v>8</v>
      </c>
      <c r="IT24" s="1076">
        <v>8</v>
      </c>
      <c r="IU24" s="1076">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4267" hidden="1"/>
    <col min="2" max="2" width="9.140625" style="4274" hidden="1"/>
    <col min="3" max="3" width="3.7109375" style="4267" hidden="1" customWidth="1"/>
    <col min="4" max="4" width="3" style="4280" customWidth="1"/>
    <col min="5" max="5" width="6" style="4267" customWidth="1"/>
    <col min="6" max="6" width="27" style="4267" customWidth="1"/>
    <col min="7" max="7" width="16" style="4267" customWidth="1"/>
    <col min="8" max="8" width="12" style="4267" customWidth="1"/>
    <col min="9" max="9" width="32" style="4267" customWidth="1"/>
    <col min="10" max="11" width="41" style="4267" customWidth="1"/>
    <col min="12" max="12" width="89" style="4267" customWidth="1"/>
    <col min="13" max="13" width="3" style="4281" customWidth="1"/>
    <col min="14" max="16" width="8" style="4281" customWidth="1"/>
    <col min="17" max="17" width="25" style="4281" customWidth="1"/>
    <col min="18" max="18" width="14" style="4281" customWidth="1"/>
    <col min="19" max="22" width="8" style="4282" customWidth="1"/>
    <col min="23" max="256" width="8" style="4267" customWidth="1"/>
    <col min="257" max="257" width="9.140625" style="4267" hidden="1"/>
  </cols>
  <sheetData>
    <row r="1" spans="1:257" ht="22.5" hidden="1" customHeight="1">
      <c r="IW1" s="1076" t="s">
        <v>14</v>
      </c>
    </row>
    <row r="2" spans="1:257" s="4278" customFormat="1" ht="22.5" hidden="1" customHeight="1">
      <c r="A2" s="763"/>
      <c r="B2" s="1081">
        <v>1</v>
      </c>
      <c r="C2" s="1081"/>
      <c r="D2" s="1843" t="s">
        <v>104</v>
      </c>
      <c r="E2" s="1807"/>
      <c r="F2" s="1810" t="str">
        <f>IF(ROIV_INFO_NAME="","",ROIV_INFO_NAME)</f>
        <v>КГУП "Примтеплоэнерго"</v>
      </c>
      <c r="G2" s="1835" t="s">
        <v>28</v>
      </c>
      <c r="H2" s="1834"/>
      <c r="I2" s="1459"/>
      <c r="J2" s="750"/>
      <c r="K2" s="750"/>
      <c r="L2" s="166"/>
      <c r="M2" s="1456" t="e">
        <f ca="1">MERGEVALUE(F2)</f>
        <v>#NAME?</v>
      </c>
      <c r="N2" s="449"/>
      <c r="O2" s="449"/>
      <c r="P2" s="438" t="str">
        <f t="array" ref="P2">IF(ISERROR(MATCH(MID(Q2,1,250),MID(note_ter,1,250),0)),"n","y")</f>
        <v>n</v>
      </c>
      <c r="Q2" s="449"/>
      <c r="R2" s="438" t="str">
        <f>G2&amp;"("&amp;L2&amp;")"</f>
        <v>()</v>
      </c>
      <c r="S2" s="1081"/>
      <c r="T2" s="1081"/>
      <c r="U2" s="358"/>
      <c r="V2" s="1081"/>
      <c r="W2" s="1081"/>
      <c r="X2" s="1081"/>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4275" customFormat="1" ht="5.25" hidden="1" customHeight="1">
      <c r="A3" s="434"/>
      <c r="D3" s="432"/>
      <c r="F3" s="185" t="s">
        <v>83</v>
      </c>
      <c r="G3" s="1655" t="s">
        <v>84</v>
      </c>
      <c r="H3" s="432"/>
      <c r="I3" s="432"/>
      <c r="J3" s="432"/>
      <c r="K3" s="432"/>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4277" customFormat="1" ht="14.65" customHeight="1">
      <c r="A4" s="1076"/>
      <c r="B4" s="1081"/>
      <c r="C4" s="1076"/>
      <c r="D4" s="1416"/>
      <c r="E4" s="447"/>
      <c r="F4" s="447"/>
      <c r="G4" s="447"/>
      <c r="H4" s="447"/>
      <c r="I4" s="447"/>
      <c r="J4" s="447"/>
      <c r="K4" s="447"/>
      <c r="L4" s="104"/>
      <c r="M4" s="185"/>
      <c r="N4" s="438"/>
      <c r="O4" s="438"/>
      <c r="P4" s="438"/>
      <c r="Q4" s="164"/>
      <c r="R4" s="438"/>
      <c r="S4" s="163"/>
      <c r="T4" s="163"/>
      <c r="U4" s="163"/>
      <c r="V4" s="163"/>
      <c r="IW4" s="445">
        <v>14</v>
      </c>
    </row>
    <row r="5" spans="1:257" s="4277" customFormat="1" ht="27.4" customHeight="1">
      <c r="A5" s="1076"/>
      <c r="B5" s="1081"/>
      <c r="C5" s="1076"/>
      <c r="D5" s="1416"/>
      <c r="E5" s="531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5313"/>
      <c r="G5" s="5313"/>
      <c r="H5" s="5313"/>
      <c r="I5" s="5313"/>
      <c r="J5" s="5313"/>
      <c r="K5" s="5313"/>
      <c r="L5" s="526"/>
      <c r="M5" s="185"/>
      <c r="N5" s="438"/>
      <c r="O5" s="438"/>
      <c r="P5" s="438"/>
      <c r="Q5" s="164"/>
      <c r="R5" s="438"/>
      <c r="S5" s="163"/>
      <c r="T5" s="163"/>
      <c r="U5" s="163"/>
      <c r="V5" s="163"/>
      <c r="IW5" s="445">
        <v>26</v>
      </c>
    </row>
    <row r="6" spans="1:257" s="4277" customFormat="1" ht="14.65" customHeight="1">
      <c r="A6" s="1076"/>
      <c r="B6" s="1081"/>
      <c r="C6" s="1076"/>
      <c r="D6" s="1416"/>
      <c r="E6" s="447"/>
      <c r="F6" s="105"/>
      <c r="G6" s="105"/>
      <c r="H6" s="105"/>
      <c r="I6" s="105"/>
      <c r="J6" s="105"/>
      <c r="K6" s="105"/>
      <c r="L6" s="106"/>
      <c r="M6" s="438"/>
      <c r="N6" s="438"/>
      <c r="O6" s="438"/>
      <c r="P6" s="438"/>
      <c r="Q6" s="164"/>
      <c r="R6" s="438"/>
      <c r="S6" s="163"/>
      <c r="T6" s="163"/>
      <c r="U6" s="163"/>
      <c r="V6" s="163"/>
      <c r="IW6" s="445">
        <v>14</v>
      </c>
    </row>
    <row r="7" spans="1:257" s="4277" customFormat="1" ht="14.65" customHeight="1">
      <c r="A7" s="1076"/>
      <c r="B7" s="1081"/>
      <c r="C7" s="1076"/>
      <c r="D7" s="1416"/>
      <c r="E7" s="5309" t="s">
        <v>393</v>
      </c>
      <c r="F7" s="5314"/>
      <c r="G7" s="5314"/>
      <c r="H7" s="5314"/>
      <c r="I7" s="5314"/>
      <c r="J7" s="5314"/>
      <c r="K7" s="5314"/>
      <c r="L7" s="5640" t="s">
        <v>394</v>
      </c>
      <c r="M7" s="438"/>
      <c r="N7" s="438"/>
      <c r="O7" s="438"/>
      <c r="P7" s="438"/>
      <c r="Q7" s="164"/>
      <c r="R7" s="438"/>
      <c r="S7" s="163"/>
      <c r="T7" s="163"/>
      <c r="U7" s="163"/>
      <c r="V7" s="163"/>
      <c r="IW7" s="445">
        <v>14</v>
      </c>
    </row>
    <row r="8" spans="1:257" s="4277" customFormat="1" ht="67.150000000000006" customHeight="1">
      <c r="A8" s="1076"/>
      <c r="B8" s="1081"/>
      <c r="C8" s="1076"/>
      <c r="D8" s="1416"/>
      <c r="E8" s="5644" t="s">
        <v>88</v>
      </c>
      <c r="F8" s="564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564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5647"/>
      <c r="I8" s="5648"/>
      <c r="J8" s="564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564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5642"/>
      <c r="M8" s="438"/>
      <c r="N8" s="438"/>
      <c r="O8" s="438"/>
      <c r="P8" s="438"/>
      <c r="Q8" s="164"/>
      <c r="R8" s="438"/>
      <c r="S8" s="163"/>
      <c r="T8" s="163"/>
      <c r="U8" s="163"/>
      <c r="V8" s="163"/>
      <c r="IW8" s="445">
        <v>64</v>
      </c>
    </row>
    <row r="9" spans="1:257" s="4277" customFormat="1" ht="29.25" customHeight="1">
      <c r="A9" s="1076"/>
      <c r="B9" s="1081"/>
      <c r="C9" s="1076"/>
      <c r="D9" s="1416"/>
      <c r="E9" s="5645"/>
      <c r="F9" s="5645"/>
      <c r="G9" s="1458" t="s">
        <v>1970</v>
      </c>
      <c r="H9" s="1458" t="s">
        <v>1971</v>
      </c>
      <c r="I9" s="1458" t="s">
        <v>1972</v>
      </c>
      <c r="J9" s="5645"/>
      <c r="K9" s="5645"/>
      <c r="L9" s="5641"/>
      <c r="M9" s="438"/>
      <c r="N9" s="438"/>
      <c r="O9" s="438"/>
      <c r="P9" s="438"/>
      <c r="Q9" s="164"/>
      <c r="R9" s="438"/>
      <c r="S9" s="163"/>
      <c r="T9" s="163"/>
      <c r="U9" s="163"/>
      <c r="V9" s="163"/>
      <c r="IW9" s="445">
        <v>28</v>
      </c>
    </row>
    <row r="10" spans="1:257" s="4278" customFormat="1" ht="23.25" customHeight="1">
      <c r="A10" s="5312"/>
      <c r="B10" s="1081">
        <v>1</v>
      </c>
      <c r="C10" s="1081"/>
      <c r="D10" s="732"/>
      <c r="E10" s="730">
        <v>1</v>
      </c>
      <c r="F10" s="1460" t="str">
        <f>IF(ROIV_INFO_NAME="","",ROIV_INFO_NAME)</f>
        <v>КГУП "Примтеплоэнерго"</v>
      </c>
      <c r="G10" s="1652" t="s">
        <v>28</v>
      </c>
      <c r="H10" s="1834"/>
      <c r="I10" s="1455"/>
      <c r="J10" s="750"/>
      <c r="K10" s="750"/>
      <c r="L10" s="562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6"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1"/>
      <c r="T10" s="1081"/>
      <c r="U10" s="358"/>
      <c r="V10" s="1081"/>
      <c r="W10" s="1081"/>
      <c r="X10" s="1081"/>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4278" customFormat="1" ht="15.75" customHeight="1">
      <c r="A11" s="5312"/>
      <c r="B11" s="1081"/>
      <c r="C11" s="350"/>
      <c r="D11" s="733"/>
      <c r="E11" s="359"/>
      <c r="F11" s="354" t="s">
        <v>1973</v>
      </c>
      <c r="G11" s="125"/>
      <c r="H11" s="125"/>
      <c r="I11" s="125"/>
      <c r="J11" s="125"/>
      <c r="K11" s="362"/>
      <c r="L11" s="5643"/>
      <c r="M11" s="1457"/>
      <c r="N11" s="449"/>
      <c r="O11" s="449"/>
      <c r="P11" s="449"/>
      <c r="Q11" s="438"/>
      <c r="R11" s="449"/>
      <c r="S11" s="1081"/>
      <c r="T11" s="1081"/>
      <c r="U11" s="358"/>
      <c r="V11" s="1081"/>
      <c r="W11" s="1081"/>
      <c r="X11" s="1081"/>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4277" customFormat="1" ht="21.95" customHeight="1">
      <c r="A12" s="1076"/>
      <c r="B12" s="1081"/>
      <c r="C12" s="1076"/>
      <c r="D12" s="389"/>
      <c r="E12" s="118"/>
      <c r="F12" s="118"/>
      <c r="G12" s="118"/>
      <c r="H12" s="118"/>
      <c r="I12" s="118"/>
      <c r="J12" s="118"/>
      <c r="K12" s="118"/>
      <c r="L12" s="118"/>
      <c r="M12" s="438"/>
      <c r="N12" s="438"/>
      <c r="O12" s="438"/>
      <c r="P12" s="438"/>
      <c r="Q12" s="164"/>
      <c r="R12" s="438"/>
      <c r="S12" s="163"/>
      <c r="T12" s="163"/>
      <c r="U12" s="163"/>
      <c r="V12" s="163"/>
      <c r="IW12" s="445">
        <v>21</v>
      </c>
    </row>
    <row r="13" spans="1:257" s="4277" customFormat="1" ht="14.65" customHeight="1">
      <c r="A13" s="1076"/>
      <c r="B13" s="1081"/>
      <c r="C13" s="1076"/>
      <c r="D13" s="389"/>
      <c r="E13" s="1076"/>
      <c r="F13" s="1076"/>
      <c r="G13" s="1076"/>
      <c r="H13" s="1076"/>
      <c r="I13" s="1076"/>
      <c r="J13" s="1076"/>
      <c r="K13" s="1076"/>
      <c r="L13" s="1076"/>
      <c r="M13" s="438"/>
      <c r="N13" s="438"/>
      <c r="O13" s="438"/>
      <c r="P13" s="438"/>
      <c r="Q13" s="164"/>
      <c r="R13" s="438"/>
      <c r="S13" s="163"/>
      <c r="T13" s="163"/>
      <c r="U13" s="163"/>
      <c r="V13" s="163"/>
      <c r="IW13" s="445">
        <v>14</v>
      </c>
    </row>
    <row r="14" spans="1:257" s="4277" customFormat="1" ht="1.1499999999999999" customHeight="1">
      <c r="A14" s="1076"/>
      <c r="B14" s="1081"/>
      <c r="C14" s="1076"/>
      <c r="D14" s="389"/>
      <c r="E14" s="1076"/>
      <c r="F14" s="1076"/>
      <c r="G14" s="1076"/>
      <c r="H14" s="1076"/>
      <c r="I14" s="1076"/>
      <c r="J14" s="1076"/>
      <c r="K14" s="1076"/>
      <c r="L14" s="1076"/>
      <c r="M14" s="438"/>
      <c r="N14" s="438"/>
      <c r="O14" s="438"/>
      <c r="P14" s="438"/>
      <c r="Q14" s="164"/>
      <c r="R14" s="438"/>
      <c r="S14" s="163"/>
      <c r="T14" s="163"/>
      <c r="U14" s="163"/>
      <c r="V14" s="163"/>
      <c r="IW14" s="445">
        <v>1</v>
      </c>
    </row>
    <row r="15" spans="1:257" ht="22.5" hidden="1" customHeight="1">
      <c r="A15" s="1076" t="s">
        <v>82</v>
      </c>
      <c r="B15" s="1081">
        <v>0</v>
      </c>
      <c r="C15" s="1076">
        <v>0</v>
      </c>
      <c r="D15" s="389">
        <v>3</v>
      </c>
      <c r="E15" s="1076">
        <v>6</v>
      </c>
      <c r="F15" s="1076">
        <v>27</v>
      </c>
      <c r="G15" s="1076">
        <v>16</v>
      </c>
      <c r="H15" s="1076">
        <v>12</v>
      </c>
      <c r="I15" s="1076">
        <v>32</v>
      </c>
      <c r="J15" s="1076">
        <v>41</v>
      </c>
      <c r="K15" s="1076">
        <v>41</v>
      </c>
      <c r="L15" s="1076">
        <v>89</v>
      </c>
      <c r="M15" s="438">
        <v>3</v>
      </c>
      <c r="N15" s="438">
        <v>8</v>
      </c>
      <c r="O15" s="438">
        <v>8</v>
      </c>
      <c r="P15" s="438">
        <v>8</v>
      </c>
      <c r="Q15" s="164">
        <v>25</v>
      </c>
      <c r="R15" s="438">
        <v>14</v>
      </c>
      <c r="S15" s="163">
        <v>8</v>
      </c>
      <c r="T15" s="163">
        <v>8</v>
      </c>
      <c r="U15" s="163">
        <v>8</v>
      </c>
      <c r="V15" s="163">
        <v>8</v>
      </c>
      <c r="W15" s="1076">
        <v>8</v>
      </c>
      <c r="X15" s="1076">
        <v>8</v>
      </c>
      <c r="Y15" s="1076">
        <v>8</v>
      </c>
      <c r="Z15" s="1076">
        <v>8</v>
      </c>
      <c r="AA15" s="1076">
        <v>8</v>
      </c>
      <c r="AB15" s="1076">
        <v>8</v>
      </c>
      <c r="AC15" s="1076">
        <v>8</v>
      </c>
      <c r="AD15" s="1076">
        <v>8</v>
      </c>
      <c r="AE15" s="1076">
        <v>8</v>
      </c>
      <c r="AF15" s="1076">
        <v>8</v>
      </c>
      <c r="AG15" s="1076">
        <v>8</v>
      </c>
      <c r="AH15" s="1076">
        <v>8</v>
      </c>
      <c r="AI15" s="1076">
        <v>8</v>
      </c>
      <c r="AJ15" s="1076">
        <v>8</v>
      </c>
      <c r="AK15" s="1076">
        <v>8</v>
      </c>
      <c r="AL15" s="1076">
        <v>8</v>
      </c>
      <c r="AM15" s="1076">
        <v>8</v>
      </c>
      <c r="AN15" s="1076">
        <v>8</v>
      </c>
      <c r="AO15" s="1076">
        <v>8</v>
      </c>
      <c r="AP15" s="1076">
        <v>8</v>
      </c>
      <c r="AQ15" s="1076">
        <v>8</v>
      </c>
      <c r="AR15" s="1076">
        <v>8</v>
      </c>
      <c r="AS15" s="1076">
        <v>8</v>
      </c>
      <c r="AT15" s="1076">
        <v>8</v>
      </c>
      <c r="AU15" s="1076">
        <v>8</v>
      </c>
      <c r="AV15" s="1076">
        <v>8</v>
      </c>
      <c r="AW15" s="1076">
        <v>8</v>
      </c>
      <c r="AX15" s="1076">
        <v>8</v>
      </c>
      <c r="AY15" s="1076">
        <v>8</v>
      </c>
      <c r="AZ15" s="1076">
        <v>8</v>
      </c>
      <c r="BA15" s="1076">
        <v>8</v>
      </c>
      <c r="BB15" s="1076">
        <v>8</v>
      </c>
      <c r="BC15" s="1076">
        <v>8</v>
      </c>
      <c r="BD15" s="1076">
        <v>8</v>
      </c>
      <c r="BE15" s="1076">
        <v>8</v>
      </c>
      <c r="BF15" s="1076">
        <v>8</v>
      </c>
      <c r="BG15" s="1076">
        <v>8</v>
      </c>
      <c r="BH15" s="1076">
        <v>8</v>
      </c>
      <c r="BI15" s="1076">
        <v>8</v>
      </c>
      <c r="BJ15" s="1076">
        <v>8</v>
      </c>
      <c r="BK15" s="1076">
        <v>8</v>
      </c>
      <c r="BL15" s="1076">
        <v>8</v>
      </c>
      <c r="BM15" s="1076">
        <v>8</v>
      </c>
      <c r="BN15" s="1076">
        <v>8</v>
      </c>
      <c r="BO15" s="1076">
        <v>8</v>
      </c>
      <c r="BP15" s="1076">
        <v>8</v>
      </c>
      <c r="BQ15" s="1076">
        <v>8</v>
      </c>
      <c r="BR15" s="1076">
        <v>8</v>
      </c>
      <c r="BS15" s="1076">
        <v>8</v>
      </c>
      <c r="BT15" s="1076">
        <v>8</v>
      </c>
      <c r="BU15" s="1076">
        <v>8</v>
      </c>
      <c r="BV15" s="1076">
        <v>8</v>
      </c>
      <c r="BW15" s="1076">
        <v>8</v>
      </c>
      <c r="BX15" s="1076">
        <v>8</v>
      </c>
      <c r="BY15" s="1076">
        <v>8</v>
      </c>
      <c r="BZ15" s="1076">
        <v>8</v>
      </c>
      <c r="CA15" s="1076">
        <v>8</v>
      </c>
      <c r="CB15" s="1076">
        <v>8</v>
      </c>
      <c r="CC15" s="1076">
        <v>8</v>
      </c>
      <c r="CD15" s="1076">
        <v>8</v>
      </c>
      <c r="CE15" s="1076">
        <v>8</v>
      </c>
      <c r="CF15" s="1076">
        <v>8</v>
      </c>
      <c r="CG15" s="1076">
        <v>8</v>
      </c>
      <c r="CH15" s="1076">
        <v>8</v>
      </c>
      <c r="CI15" s="1076">
        <v>8</v>
      </c>
      <c r="CJ15" s="1076">
        <v>8</v>
      </c>
      <c r="CK15" s="1076">
        <v>8</v>
      </c>
      <c r="CL15" s="1076">
        <v>8</v>
      </c>
      <c r="CM15" s="1076">
        <v>8</v>
      </c>
      <c r="CN15" s="1076">
        <v>8</v>
      </c>
      <c r="CO15" s="1076">
        <v>8</v>
      </c>
      <c r="CP15" s="1076">
        <v>8</v>
      </c>
      <c r="CQ15" s="1076">
        <v>8</v>
      </c>
      <c r="CR15" s="1076">
        <v>8</v>
      </c>
      <c r="CS15" s="1076">
        <v>8</v>
      </c>
      <c r="CT15" s="1076">
        <v>8</v>
      </c>
      <c r="CU15" s="1076">
        <v>8</v>
      </c>
      <c r="CV15" s="1076">
        <v>8</v>
      </c>
      <c r="CW15" s="1076">
        <v>8</v>
      </c>
      <c r="CX15" s="1076">
        <v>8</v>
      </c>
      <c r="CY15" s="1076">
        <v>8</v>
      </c>
      <c r="CZ15" s="1076">
        <v>8</v>
      </c>
      <c r="DA15" s="1076">
        <v>8</v>
      </c>
      <c r="DB15" s="1076">
        <v>8</v>
      </c>
      <c r="DC15" s="1076">
        <v>8</v>
      </c>
      <c r="DD15" s="1076">
        <v>8</v>
      </c>
      <c r="DE15" s="1076">
        <v>8</v>
      </c>
      <c r="DF15" s="1076">
        <v>8</v>
      </c>
      <c r="DG15" s="1076">
        <v>8</v>
      </c>
      <c r="DH15" s="1076">
        <v>8</v>
      </c>
      <c r="DI15" s="1076">
        <v>8</v>
      </c>
      <c r="DJ15" s="1076">
        <v>8</v>
      </c>
      <c r="DK15" s="1076">
        <v>8</v>
      </c>
      <c r="DL15" s="1076">
        <v>8</v>
      </c>
      <c r="DM15" s="1076">
        <v>8</v>
      </c>
      <c r="DN15" s="1076">
        <v>8</v>
      </c>
      <c r="DO15" s="1076">
        <v>8</v>
      </c>
      <c r="DP15" s="1076">
        <v>8</v>
      </c>
      <c r="DQ15" s="1076">
        <v>8</v>
      </c>
      <c r="DR15" s="1076">
        <v>8</v>
      </c>
      <c r="DS15" s="1076">
        <v>8</v>
      </c>
      <c r="DT15" s="1076">
        <v>8</v>
      </c>
      <c r="DU15" s="1076">
        <v>8</v>
      </c>
      <c r="DV15" s="1076">
        <v>8</v>
      </c>
      <c r="DW15" s="1076">
        <v>8</v>
      </c>
      <c r="DX15" s="1076">
        <v>8</v>
      </c>
      <c r="DY15" s="1076">
        <v>8</v>
      </c>
      <c r="DZ15" s="1076">
        <v>8</v>
      </c>
      <c r="EA15" s="1076">
        <v>8</v>
      </c>
      <c r="EB15" s="1076">
        <v>8</v>
      </c>
      <c r="EC15" s="1076">
        <v>8</v>
      </c>
      <c r="ED15" s="1076">
        <v>8</v>
      </c>
      <c r="EE15" s="1076">
        <v>8</v>
      </c>
      <c r="EF15" s="1076">
        <v>8</v>
      </c>
      <c r="EG15" s="1076">
        <v>8</v>
      </c>
      <c r="EH15" s="1076">
        <v>8</v>
      </c>
      <c r="EI15" s="1076">
        <v>8</v>
      </c>
      <c r="EJ15" s="1076">
        <v>8</v>
      </c>
      <c r="EK15" s="1076">
        <v>8</v>
      </c>
      <c r="EL15" s="1076">
        <v>8</v>
      </c>
      <c r="EM15" s="1076">
        <v>8</v>
      </c>
      <c r="EN15" s="1076">
        <v>8</v>
      </c>
      <c r="EO15" s="1076">
        <v>8</v>
      </c>
      <c r="EP15" s="1076">
        <v>8</v>
      </c>
      <c r="EQ15" s="1076">
        <v>8</v>
      </c>
      <c r="ER15" s="1076">
        <v>8</v>
      </c>
      <c r="ES15" s="1076">
        <v>8</v>
      </c>
      <c r="ET15" s="1076">
        <v>8</v>
      </c>
      <c r="EU15" s="1076">
        <v>8</v>
      </c>
      <c r="EV15" s="1076">
        <v>8</v>
      </c>
      <c r="EW15" s="1076">
        <v>8</v>
      </c>
      <c r="EX15" s="1076">
        <v>8</v>
      </c>
      <c r="EY15" s="1076">
        <v>8</v>
      </c>
      <c r="EZ15" s="1076">
        <v>8</v>
      </c>
      <c r="FA15" s="1076">
        <v>8</v>
      </c>
      <c r="FB15" s="1076">
        <v>8</v>
      </c>
      <c r="FC15" s="1076">
        <v>8</v>
      </c>
      <c r="FD15" s="1076">
        <v>8</v>
      </c>
      <c r="FE15" s="1076">
        <v>8</v>
      </c>
      <c r="FF15" s="1076">
        <v>8</v>
      </c>
      <c r="FG15" s="1076">
        <v>8</v>
      </c>
      <c r="FH15" s="1076">
        <v>8</v>
      </c>
      <c r="FI15" s="1076">
        <v>8</v>
      </c>
      <c r="FJ15" s="1076">
        <v>8</v>
      </c>
      <c r="FK15" s="1076">
        <v>8</v>
      </c>
      <c r="FL15" s="1076">
        <v>8</v>
      </c>
      <c r="FM15" s="1076">
        <v>8</v>
      </c>
      <c r="FN15" s="1076">
        <v>8</v>
      </c>
      <c r="FO15" s="1076">
        <v>8</v>
      </c>
      <c r="FP15" s="1076">
        <v>8</v>
      </c>
      <c r="FQ15" s="1076">
        <v>8</v>
      </c>
      <c r="FR15" s="1076">
        <v>8</v>
      </c>
      <c r="FS15" s="1076">
        <v>8</v>
      </c>
      <c r="FT15" s="1076">
        <v>8</v>
      </c>
      <c r="FU15" s="1076">
        <v>8</v>
      </c>
      <c r="FV15" s="1076">
        <v>8</v>
      </c>
      <c r="FW15" s="1076">
        <v>8</v>
      </c>
      <c r="FX15" s="1076">
        <v>8</v>
      </c>
      <c r="FY15" s="1076">
        <v>8</v>
      </c>
      <c r="FZ15" s="1076">
        <v>8</v>
      </c>
      <c r="GA15" s="1076">
        <v>8</v>
      </c>
      <c r="GB15" s="1076">
        <v>8</v>
      </c>
      <c r="GC15" s="1076">
        <v>8</v>
      </c>
      <c r="GD15" s="1076">
        <v>8</v>
      </c>
      <c r="GE15" s="1076">
        <v>8</v>
      </c>
      <c r="GF15" s="1076">
        <v>8</v>
      </c>
      <c r="GG15" s="1076">
        <v>8</v>
      </c>
      <c r="GH15" s="1076">
        <v>8</v>
      </c>
      <c r="GI15" s="1076">
        <v>8</v>
      </c>
      <c r="GJ15" s="1076">
        <v>8</v>
      </c>
      <c r="GK15" s="1076">
        <v>8</v>
      </c>
      <c r="GL15" s="1076">
        <v>8</v>
      </c>
      <c r="GM15" s="1076">
        <v>8</v>
      </c>
      <c r="GN15" s="1076">
        <v>8</v>
      </c>
      <c r="GO15" s="1076">
        <v>8</v>
      </c>
      <c r="GP15" s="1076">
        <v>8</v>
      </c>
      <c r="GQ15" s="1076">
        <v>8</v>
      </c>
      <c r="GR15" s="1076">
        <v>8</v>
      </c>
      <c r="GS15" s="1076">
        <v>8</v>
      </c>
      <c r="GT15" s="1076">
        <v>8</v>
      </c>
      <c r="GU15" s="1076">
        <v>8</v>
      </c>
      <c r="GV15" s="1076">
        <v>8</v>
      </c>
      <c r="GW15" s="1076">
        <v>8</v>
      </c>
      <c r="GX15" s="1076">
        <v>8</v>
      </c>
      <c r="GY15" s="1076">
        <v>8</v>
      </c>
      <c r="GZ15" s="1076">
        <v>8</v>
      </c>
      <c r="HA15" s="1076">
        <v>8</v>
      </c>
      <c r="HB15" s="1076">
        <v>8</v>
      </c>
      <c r="HC15" s="1076">
        <v>8</v>
      </c>
      <c r="HD15" s="1076">
        <v>8</v>
      </c>
      <c r="HE15" s="1076">
        <v>8</v>
      </c>
      <c r="HF15" s="1076">
        <v>8</v>
      </c>
      <c r="HG15" s="1076">
        <v>8</v>
      </c>
      <c r="HH15" s="1076">
        <v>8</v>
      </c>
      <c r="HI15" s="1076">
        <v>8</v>
      </c>
      <c r="HJ15" s="1076">
        <v>8</v>
      </c>
      <c r="HK15" s="1076">
        <v>8</v>
      </c>
      <c r="HL15" s="1076">
        <v>8</v>
      </c>
      <c r="HM15" s="1076">
        <v>8</v>
      </c>
      <c r="HN15" s="1076">
        <v>8</v>
      </c>
      <c r="HO15" s="1076">
        <v>8</v>
      </c>
      <c r="HP15" s="1076">
        <v>8</v>
      </c>
      <c r="HQ15" s="1076">
        <v>8</v>
      </c>
      <c r="HR15" s="1076">
        <v>8</v>
      </c>
      <c r="HS15" s="1076">
        <v>8</v>
      </c>
      <c r="HT15" s="1076">
        <v>8</v>
      </c>
      <c r="HU15" s="1076">
        <v>8</v>
      </c>
      <c r="HV15" s="1076">
        <v>8</v>
      </c>
      <c r="HW15" s="1076">
        <v>8</v>
      </c>
      <c r="HX15" s="1076">
        <v>8</v>
      </c>
      <c r="HY15" s="1076">
        <v>8</v>
      </c>
      <c r="HZ15" s="1076">
        <v>8</v>
      </c>
      <c r="IA15" s="1076">
        <v>8</v>
      </c>
      <c r="IB15" s="1076">
        <v>8</v>
      </c>
      <c r="IC15" s="1076">
        <v>8</v>
      </c>
      <c r="ID15" s="1076">
        <v>8</v>
      </c>
      <c r="IE15" s="1076">
        <v>8</v>
      </c>
      <c r="IF15" s="1076">
        <v>8</v>
      </c>
      <c r="IG15" s="1076">
        <v>8</v>
      </c>
      <c r="IH15" s="1076">
        <v>8</v>
      </c>
      <c r="II15" s="1076">
        <v>8</v>
      </c>
      <c r="IJ15" s="1076">
        <v>8</v>
      </c>
      <c r="IK15" s="1076">
        <v>8</v>
      </c>
      <c r="IL15" s="1076">
        <v>8</v>
      </c>
      <c r="IM15" s="1076">
        <v>8</v>
      </c>
      <c r="IN15" s="1076">
        <v>8</v>
      </c>
      <c r="IO15" s="1076">
        <v>8</v>
      </c>
      <c r="IP15" s="1076">
        <v>8</v>
      </c>
      <c r="IQ15" s="1076">
        <v>8</v>
      </c>
      <c r="IR15" s="1076">
        <v>8</v>
      </c>
      <c r="IS15" s="1076">
        <v>8</v>
      </c>
      <c r="IT15" s="1076">
        <v>8</v>
      </c>
      <c r="IU15" s="1076">
        <v>8</v>
      </c>
      <c r="IV15" s="1076">
        <v>8</v>
      </c>
      <c r="IW15" s="1076">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4267" hidden="1"/>
    <col min="2" max="2" width="9.140625" style="4274" hidden="1"/>
    <col min="3" max="3" width="3.7109375" style="4267" hidden="1" customWidth="1"/>
    <col min="4" max="4" width="3" style="4280" customWidth="1"/>
    <col min="5" max="5" width="6" style="4267" customWidth="1"/>
    <col min="6" max="6" width="27" style="4267" customWidth="1"/>
    <col min="7" max="7" width="16" style="4267" customWidth="1"/>
    <col min="8" max="8" width="12" style="4267" customWidth="1"/>
    <col min="9" max="9" width="32" style="4267" customWidth="1"/>
    <col min="10" max="11" width="41" style="4267" customWidth="1"/>
    <col min="12" max="12" width="89" style="4267" customWidth="1"/>
    <col min="13" max="13" width="3" style="4281" customWidth="1"/>
    <col min="14" max="16" width="8" style="4281" customWidth="1"/>
    <col min="17" max="17" width="25" style="4281" customWidth="1"/>
    <col min="18" max="18" width="14" style="4281" customWidth="1"/>
    <col min="19" max="22" width="8" style="4282" customWidth="1"/>
    <col min="23" max="256" width="8" style="4267" customWidth="1"/>
    <col min="257" max="257" width="9.140625" style="4267" hidden="1"/>
  </cols>
  <sheetData>
    <row r="1" spans="1:257" ht="22.5" hidden="1" customHeight="1">
      <c r="IW1" s="1552" t="s">
        <v>14</v>
      </c>
    </row>
    <row r="2" spans="1:257" s="4278" customFormat="1" ht="22.5" hidden="1" customHeight="1">
      <c r="A2" s="763"/>
      <c r="B2" s="1287">
        <v>1</v>
      </c>
      <c r="C2" s="1287"/>
      <c r="D2" s="1843" t="s">
        <v>104</v>
      </c>
      <c r="E2" s="1822"/>
      <c r="F2" s="1824" t="str">
        <f>IF(ROIV_INFO_NAME="","",ROIV_INFO_NAME)</f>
        <v>КГУП "Примтеплоэнерго"</v>
      </c>
      <c r="G2" s="1652" t="s">
        <v>28</v>
      </c>
      <c r="H2" s="1834"/>
      <c r="I2" s="1459"/>
      <c r="J2" s="750"/>
      <c r="K2" s="750"/>
      <c r="L2" s="166"/>
      <c r="M2" s="1456" t="e">
        <f ca="1">MERGEVALUE(F2)</f>
        <v>#NAME?</v>
      </c>
      <c r="N2" s="1557"/>
      <c r="O2" s="1557"/>
      <c r="P2" s="1545" t="str">
        <f t="array" ref="P2">IF(ISERROR(MATCH(MID(Q2,1,250),MID(note_ter,1,250),0)),"n","y")</f>
        <v>n</v>
      </c>
      <c r="Q2" s="1557"/>
      <c r="R2" s="1545" t="str">
        <f>G2&amp;"("&amp;L2&amp;")"</f>
        <v>()</v>
      </c>
      <c r="S2" s="1287"/>
      <c r="T2" s="1287"/>
      <c r="U2" s="358"/>
      <c r="V2" s="1287"/>
      <c r="W2" s="1287"/>
      <c r="X2" s="1287"/>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4275" customFormat="1" ht="5.25" hidden="1" customHeight="1">
      <c r="A3" s="1562"/>
      <c r="D3" s="1811"/>
      <c r="F3" s="186" t="s">
        <v>83</v>
      </c>
      <c r="G3" s="1655" t="s">
        <v>84</v>
      </c>
      <c r="H3" s="1811"/>
      <c r="I3" s="1811"/>
      <c r="J3" s="1811"/>
      <c r="K3" s="1811"/>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57">
        <v>0</v>
      </c>
    </row>
    <row r="4" spans="1:257" s="4277" customFormat="1" ht="14.65" customHeight="1">
      <c r="A4" s="1552"/>
      <c r="B4" s="1287"/>
      <c r="C4" s="1552"/>
      <c r="D4" s="1436"/>
      <c r="E4" s="1556"/>
      <c r="F4" s="1556"/>
      <c r="G4" s="1556"/>
      <c r="H4" s="1556"/>
      <c r="I4" s="1556"/>
      <c r="J4" s="1556"/>
      <c r="K4" s="1556"/>
      <c r="L4" s="1813"/>
      <c r="M4" s="186"/>
      <c r="N4" s="1545"/>
      <c r="O4" s="1545"/>
      <c r="P4" s="1545"/>
      <c r="Q4" s="1545"/>
      <c r="R4" s="1545"/>
      <c r="S4" s="163"/>
      <c r="T4" s="163"/>
      <c r="U4" s="163"/>
      <c r="V4" s="163"/>
      <c r="IW4" s="1530">
        <v>14</v>
      </c>
    </row>
    <row r="5" spans="1:257" s="4277" customFormat="1" ht="27.4" customHeight="1">
      <c r="A5" s="1552"/>
      <c r="B5" s="1287"/>
      <c r="C5" s="1552"/>
      <c r="D5" s="1436"/>
      <c r="E5" s="531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5313"/>
      <c r="G5" s="5313"/>
      <c r="H5" s="5313"/>
      <c r="I5" s="5313"/>
      <c r="J5" s="5313"/>
      <c r="K5" s="5313"/>
      <c r="L5" s="1556"/>
      <c r="M5" s="186"/>
      <c r="N5" s="1545"/>
      <c r="O5" s="1545"/>
      <c r="P5" s="1545"/>
      <c r="Q5" s="1545"/>
      <c r="R5" s="1545"/>
      <c r="S5" s="163"/>
      <c r="T5" s="163"/>
      <c r="U5" s="163"/>
      <c r="V5" s="163"/>
      <c r="IW5" s="1530">
        <v>26</v>
      </c>
    </row>
    <row r="6" spans="1:257" s="4277" customFormat="1" ht="14.65" customHeight="1">
      <c r="A6" s="1552"/>
      <c r="B6" s="1287"/>
      <c r="C6" s="1552"/>
      <c r="D6" s="1436"/>
      <c r="E6" s="1556"/>
      <c r="F6" s="554"/>
      <c r="G6" s="554"/>
      <c r="H6" s="554"/>
      <c r="I6" s="554"/>
      <c r="J6" s="554"/>
      <c r="K6" s="554"/>
      <c r="L6" s="1173"/>
      <c r="M6" s="1545"/>
      <c r="N6" s="1545"/>
      <c r="O6" s="1545"/>
      <c r="P6" s="1545"/>
      <c r="Q6" s="1545"/>
      <c r="R6" s="1545"/>
      <c r="S6" s="163"/>
      <c r="T6" s="163"/>
      <c r="U6" s="163"/>
      <c r="V6" s="163"/>
      <c r="IW6" s="1530">
        <v>14</v>
      </c>
    </row>
    <row r="7" spans="1:257" s="4277" customFormat="1" ht="14.65" customHeight="1">
      <c r="A7" s="1552"/>
      <c r="B7" s="1287"/>
      <c r="C7" s="1552"/>
      <c r="D7" s="1436"/>
      <c r="E7" s="5309" t="s">
        <v>393</v>
      </c>
      <c r="F7" s="5314"/>
      <c r="G7" s="5314"/>
      <c r="H7" s="5314"/>
      <c r="I7" s="5314"/>
      <c r="J7" s="5314"/>
      <c r="K7" s="5314"/>
      <c r="L7" s="5640" t="s">
        <v>394</v>
      </c>
      <c r="M7" s="1545"/>
      <c r="N7" s="1545"/>
      <c r="O7" s="1545"/>
      <c r="P7" s="1545"/>
      <c r="Q7" s="1545"/>
      <c r="R7" s="1545"/>
      <c r="S7" s="163"/>
      <c r="T7" s="163"/>
      <c r="U7" s="163"/>
      <c r="V7" s="163"/>
      <c r="IW7" s="1530">
        <v>14</v>
      </c>
    </row>
    <row r="8" spans="1:257" s="4277" customFormat="1" ht="67.150000000000006" customHeight="1">
      <c r="A8" s="1552"/>
      <c r="B8" s="1287"/>
      <c r="C8" s="1552"/>
      <c r="D8" s="1436"/>
      <c r="E8" s="5644" t="s">
        <v>88</v>
      </c>
      <c r="F8" s="5644" t="s">
        <v>1974</v>
      </c>
      <c r="G8" s="5646" t="s">
        <v>1975</v>
      </c>
      <c r="H8" s="5647"/>
      <c r="I8" s="5648"/>
      <c r="J8" s="5644" t="s">
        <v>1976</v>
      </c>
      <c r="K8" s="564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5642"/>
      <c r="M8" s="1545"/>
      <c r="N8" s="1545"/>
      <c r="O8" s="1545"/>
      <c r="P8" s="1545"/>
      <c r="Q8" s="1545"/>
      <c r="R8" s="1545"/>
      <c r="S8" s="163"/>
      <c r="T8" s="163"/>
      <c r="U8" s="163"/>
      <c r="V8" s="163"/>
      <c r="IW8" s="1530">
        <v>64</v>
      </c>
    </row>
    <row r="9" spans="1:257" s="4277" customFormat="1" ht="29.25" customHeight="1">
      <c r="A9" s="1552"/>
      <c r="B9" s="1287"/>
      <c r="C9" s="1552"/>
      <c r="D9" s="1436"/>
      <c r="E9" s="5645"/>
      <c r="F9" s="5645"/>
      <c r="G9" s="1812" t="s">
        <v>1970</v>
      </c>
      <c r="H9" s="1812" t="s">
        <v>1971</v>
      </c>
      <c r="I9" s="1812" t="s">
        <v>1972</v>
      </c>
      <c r="J9" s="5645"/>
      <c r="K9" s="5645"/>
      <c r="L9" s="5641"/>
      <c r="M9" s="1545"/>
      <c r="N9" s="1545"/>
      <c r="O9" s="1545"/>
      <c r="P9" s="1545"/>
      <c r="Q9" s="1545"/>
      <c r="R9" s="1545"/>
      <c r="S9" s="163"/>
      <c r="T9" s="163"/>
      <c r="U9" s="163"/>
      <c r="V9" s="163"/>
      <c r="IW9" s="1530">
        <v>28</v>
      </c>
    </row>
    <row r="10" spans="1:257" s="4278" customFormat="1" ht="1.1499999999999999" customHeight="1">
      <c r="A10" s="5312"/>
      <c r="B10" s="1287">
        <v>1</v>
      </c>
      <c r="C10" s="1287"/>
      <c r="D10" s="732"/>
      <c r="E10" s="727">
        <v>0</v>
      </c>
      <c r="F10" s="1809" t="str">
        <f>IF(ROIV_INFO_NAME="","",ROIV_INFO_NAME)</f>
        <v>КГУП "Примтеплоэнерго"</v>
      </c>
      <c r="G10" s="1653" t="s">
        <v>28</v>
      </c>
      <c r="H10" s="1821"/>
      <c r="I10" s="1821"/>
      <c r="J10" s="457"/>
      <c r="K10" s="457"/>
      <c r="L10" s="562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6" t="e">
        <f ca="1">MERGEVALUE(F10)</f>
        <v>#NAME?</v>
      </c>
      <c r="N10" s="1557"/>
      <c r="O10" s="1557"/>
      <c r="P10" s="1545" t="str">
        <f t="array" ref="P10">IF(ISERROR(MATCH(MID(Q10,1,250),MID(note_ter,1,250),0)),"n","y")</f>
        <v>n</v>
      </c>
      <c r="Q10" s="1557"/>
      <c r="R10" s="154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7"/>
      <c r="T10" s="1287"/>
      <c r="U10" s="358"/>
      <c r="V10" s="1287"/>
      <c r="W10" s="1287"/>
      <c r="X10" s="1287"/>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4278" customFormat="1" ht="15.75" customHeight="1">
      <c r="A11" s="5312"/>
      <c r="B11" s="1287"/>
      <c r="C11" s="350"/>
      <c r="D11" s="733"/>
      <c r="E11" s="359"/>
      <c r="F11" s="589" t="s">
        <v>1973</v>
      </c>
      <c r="G11" s="125"/>
      <c r="H11" s="125"/>
      <c r="I11" s="125"/>
      <c r="J11" s="125"/>
      <c r="K11" s="362"/>
      <c r="L11" s="5643"/>
      <c r="M11" s="1457"/>
      <c r="N11" s="1557"/>
      <c r="O11" s="1557"/>
      <c r="P11" s="1557"/>
      <c r="Q11" s="1545"/>
      <c r="R11" s="1557"/>
      <c r="S11" s="1287"/>
      <c r="T11" s="1287"/>
      <c r="U11" s="358"/>
      <c r="V11" s="1287"/>
      <c r="W11" s="1287"/>
      <c r="X11" s="1287"/>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4277" customFormat="1" ht="21.95" customHeight="1">
      <c r="A12" s="1552"/>
      <c r="B12" s="1287"/>
      <c r="C12" s="1552"/>
      <c r="D12" s="1554"/>
      <c r="E12" s="118"/>
      <c r="F12" s="118"/>
      <c r="G12" s="118"/>
      <c r="H12" s="118"/>
      <c r="I12" s="118"/>
      <c r="J12" s="118"/>
      <c r="K12" s="118"/>
      <c r="L12" s="118"/>
      <c r="M12" s="1545"/>
      <c r="N12" s="1545"/>
      <c r="O12" s="1545"/>
      <c r="P12" s="1545"/>
      <c r="Q12" s="1545"/>
      <c r="R12" s="1545"/>
      <c r="S12" s="163"/>
      <c r="T12" s="163"/>
      <c r="U12" s="163"/>
      <c r="V12" s="163"/>
      <c r="IW12" s="1530">
        <v>21</v>
      </c>
    </row>
    <row r="13" spans="1:257" s="4277" customFormat="1" ht="14.65" customHeight="1">
      <c r="A13" s="1552"/>
      <c r="B13" s="1287"/>
      <c r="C13" s="1552"/>
      <c r="D13" s="1554"/>
      <c r="E13" s="1552"/>
      <c r="F13" s="1552"/>
      <c r="G13" s="1552"/>
      <c r="H13" s="1552"/>
      <c r="I13" s="1552"/>
      <c r="J13" s="1552"/>
      <c r="K13" s="1552"/>
      <c r="L13" s="1552"/>
      <c r="M13" s="1545"/>
      <c r="N13" s="1545"/>
      <c r="O13" s="1545"/>
      <c r="P13" s="1545"/>
      <c r="Q13" s="1545"/>
      <c r="R13" s="1545"/>
      <c r="S13" s="163"/>
      <c r="T13" s="163"/>
      <c r="U13" s="163"/>
      <c r="V13" s="163"/>
      <c r="IW13" s="1530">
        <v>14</v>
      </c>
    </row>
    <row r="14" spans="1:257" s="4277" customFormat="1" ht="1.1499999999999999" customHeight="1">
      <c r="A14" s="1552"/>
      <c r="B14" s="1287"/>
      <c r="C14" s="1552"/>
      <c r="D14" s="1554"/>
      <c r="E14" s="1552"/>
      <c r="F14" s="1552"/>
      <c r="G14" s="1552"/>
      <c r="H14" s="1552"/>
      <c r="I14" s="1552"/>
      <c r="J14" s="1552"/>
      <c r="K14" s="1552"/>
      <c r="L14" s="1552"/>
      <c r="M14" s="1545"/>
      <c r="N14" s="1545"/>
      <c r="O14" s="1545"/>
      <c r="P14" s="1545"/>
      <c r="Q14" s="1545"/>
      <c r="R14" s="1545"/>
      <c r="S14" s="163"/>
      <c r="T14" s="163"/>
      <c r="U14" s="163"/>
      <c r="V14" s="163"/>
      <c r="IW14" s="1530">
        <v>1</v>
      </c>
    </row>
    <row r="15" spans="1:257" ht="22.5" hidden="1" customHeight="1">
      <c r="A15" s="1552" t="s">
        <v>82</v>
      </c>
      <c r="B15" s="1287">
        <v>0</v>
      </c>
      <c r="C15" s="1552">
        <v>0</v>
      </c>
      <c r="D15" s="1554">
        <v>3</v>
      </c>
      <c r="E15" s="1552">
        <v>6</v>
      </c>
      <c r="F15" s="1552">
        <v>27</v>
      </c>
      <c r="G15" s="1552">
        <v>16</v>
      </c>
      <c r="H15" s="1552">
        <v>12</v>
      </c>
      <c r="I15" s="1552">
        <v>32</v>
      </c>
      <c r="J15" s="1552">
        <v>41</v>
      </c>
      <c r="K15" s="1552">
        <v>41</v>
      </c>
      <c r="L15" s="1552">
        <v>89</v>
      </c>
      <c r="M15" s="1545">
        <v>3</v>
      </c>
      <c r="N15" s="1545">
        <v>8</v>
      </c>
      <c r="O15" s="1545">
        <v>8</v>
      </c>
      <c r="P15" s="1545">
        <v>8</v>
      </c>
      <c r="Q15" s="1545">
        <v>25</v>
      </c>
      <c r="R15" s="1545">
        <v>14</v>
      </c>
      <c r="S15" s="163">
        <v>8</v>
      </c>
      <c r="T15" s="163">
        <v>8</v>
      </c>
      <c r="U15" s="163">
        <v>8</v>
      </c>
      <c r="V15" s="163">
        <v>8</v>
      </c>
      <c r="W15" s="1552">
        <v>8</v>
      </c>
      <c r="X15" s="1552">
        <v>8</v>
      </c>
      <c r="Y15" s="1552">
        <v>8</v>
      </c>
      <c r="Z15" s="1552">
        <v>8</v>
      </c>
      <c r="AA15" s="1552">
        <v>8</v>
      </c>
      <c r="AB15" s="1552">
        <v>8</v>
      </c>
      <c r="AC15" s="1552">
        <v>8</v>
      </c>
      <c r="AD15" s="1552">
        <v>8</v>
      </c>
      <c r="AE15" s="1552">
        <v>8</v>
      </c>
      <c r="AF15" s="1552">
        <v>8</v>
      </c>
      <c r="AG15" s="1552">
        <v>8</v>
      </c>
      <c r="AH15" s="1552">
        <v>8</v>
      </c>
      <c r="AI15" s="1552">
        <v>8</v>
      </c>
      <c r="AJ15" s="1552">
        <v>8</v>
      </c>
      <c r="AK15" s="1552">
        <v>8</v>
      </c>
      <c r="AL15" s="1552">
        <v>8</v>
      </c>
      <c r="AM15" s="1552">
        <v>8</v>
      </c>
      <c r="AN15" s="1552">
        <v>8</v>
      </c>
      <c r="AO15" s="1552">
        <v>8</v>
      </c>
      <c r="AP15" s="1552">
        <v>8</v>
      </c>
      <c r="AQ15" s="1552">
        <v>8</v>
      </c>
      <c r="AR15" s="1552">
        <v>8</v>
      </c>
      <c r="AS15" s="1552">
        <v>8</v>
      </c>
      <c r="AT15" s="1552">
        <v>8</v>
      </c>
      <c r="AU15" s="1552">
        <v>8</v>
      </c>
      <c r="AV15" s="1552">
        <v>8</v>
      </c>
      <c r="AW15" s="1552">
        <v>8</v>
      </c>
      <c r="AX15" s="1552">
        <v>8</v>
      </c>
      <c r="AY15" s="1552">
        <v>8</v>
      </c>
      <c r="AZ15" s="1552">
        <v>8</v>
      </c>
      <c r="BA15" s="1552">
        <v>8</v>
      </c>
      <c r="BB15" s="1552">
        <v>8</v>
      </c>
      <c r="BC15" s="1552">
        <v>8</v>
      </c>
      <c r="BD15" s="1552">
        <v>8</v>
      </c>
      <c r="BE15" s="1552">
        <v>8</v>
      </c>
      <c r="BF15" s="1552">
        <v>8</v>
      </c>
      <c r="BG15" s="1552">
        <v>8</v>
      </c>
      <c r="BH15" s="1552">
        <v>8</v>
      </c>
      <c r="BI15" s="1552">
        <v>8</v>
      </c>
      <c r="BJ15" s="1552">
        <v>8</v>
      </c>
      <c r="BK15" s="1552">
        <v>8</v>
      </c>
      <c r="BL15" s="1552">
        <v>8</v>
      </c>
      <c r="BM15" s="1552">
        <v>8</v>
      </c>
      <c r="BN15" s="1552">
        <v>8</v>
      </c>
      <c r="BO15" s="1552">
        <v>8</v>
      </c>
      <c r="BP15" s="1552">
        <v>8</v>
      </c>
      <c r="BQ15" s="1552">
        <v>8</v>
      </c>
      <c r="BR15" s="1552">
        <v>8</v>
      </c>
      <c r="BS15" s="1552">
        <v>8</v>
      </c>
      <c r="BT15" s="1552">
        <v>8</v>
      </c>
      <c r="BU15" s="1552">
        <v>8</v>
      </c>
      <c r="BV15" s="1552">
        <v>8</v>
      </c>
      <c r="BW15" s="1552">
        <v>8</v>
      </c>
      <c r="BX15" s="1552">
        <v>8</v>
      </c>
      <c r="BY15" s="1552">
        <v>8</v>
      </c>
      <c r="BZ15" s="1552">
        <v>8</v>
      </c>
      <c r="CA15" s="1552">
        <v>8</v>
      </c>
      <c r="CB15" s="1552">
        <v>8</v>
      </c>
      <c r="CC15" s="1552">
        <v>8</v>
      </c>
      <c r="CD15" s="1552">
        <v>8</v>
      </c>
      <c r="CE15" s="1552">
        <v>8</v>
      </c>
      <c r="CF15" s="1552">
        <v>8</v>
      </c>
      <c r="CG15" s="1552">
        <v>8</v>
      </c>
      <c r="CH15" s="1552">
        <v>8</v>
      </c>
      <c r="CI15" s="1552">
        <v>8</v>
      </c>
      <c r="CJ15" s="1552">
        <v>8</v>
      </c>
      <c r="CK15" s="1552">
        <v>8</v>
      </c>
      <c r="CL15" s="1552">
        <v>8</v>
      </c>
      <c r="CM15" s="1552">
        <v>8</v>
      </c>
      <c r="CN15" s="1552">
        <v>8</v>
      </c>
      <c r="CO15" s="1552">
        <v>8</v>
      </c>
      <c r="CP15" s="1552">
        <v>8</v>
      </c>
      <c r="CQ15" s="1552">
        <v>8</v>
      </c>
      <c r="CR15" s="1552">
        <v>8</v>
      </c>
      <c r="CS15" s="1552">
        <v>8</v>
      </c>
      <c r="CT15" s="1552">
        <v>8</v>
      </c>
      <c r="CU15" s="1552">
        <v>8</v>
      </c>
      <c r="CV15" s="1552">
        <v>8</v>
      </c>
      <c r="CW15" s="1552">
        <v>8</v>
      </c>
      <c r="CX15" s="1552">
        <v>8</v>
      </c>
      <c r="CY15" s="1552">
        <v>8</v>
      </c>
      <c r="CZ15" s="1552">
        <v>8</v>
      </c>
      <c r="DA15" s="1552">
        <v>8</v>
      </c>
      <c r="DB15" s="1552">
        <v>8</v>
      </c>
      <c r="DC15" s="1552">
        <v>8</v>
      </c>
      <c r="DD15" s="1552">
        <v>8</v>
      </c>
      <c r="DE15" s="1552">
        <v>8</v>
      </c>
      <c r="DF15" s="1552">
        <v>8</v>
      </c>
      <c r="DG15" s="1552">
        <v>8</v>
      </c>
      <c r="DH15" s="1552">
        <v>8</v>
      </c>
      <c r="DI15" s="1552">
        <v>8</v>
      </c>
      <c r="DJ15" s="1552">
        <v>8</v>
      </c>
      <c r="DK15" s="1552">
        <v>8</v>
      </c>
      <c r="DL15" s="1552">
        <v>8</v>
      </c>
      <c r="DM15" s="1552">
        <v>8</v>
      </c>
      <c r="DN15" s="1552">
        <v>8</v>
      </c>
      <c r="DO15" s="1552">
        <v>8</v>
      </c>
      <c r="DP15" s="1552">
        <v>8</v>
      </c>
      <c r="DQ15" s="1552">
        <v>8</v>
      </c>
      <c r="DR15" s="1552">
        <v>8</v>
      </c>
      <c r="DS15" s="1552">
        <v>8</v>
      </c>
      <c r="DT15" s="1552">
        <v>8</v>
      </c>
      <c r="DU15" s="1552">
        <v>8</v>
      </c>
      <c r="DV15" s="1552">
        <v>8</v>
      </c>
      <c r="DW15" s="1552">
        <v>8</v>
      </c>
      <c r="DX15" s="1552">
        <v>8</v>
      </c>
      <c r="DY15" s="1552">
        <v>8</v>
      </c>
      <c r="DZ15" s="1552">
        <v>8</v>
      </c>
      <c r="EA15" s="1552">
        <v>8</v>
      </c>
      <c r="EB15" s="1552">
        <v>8</v>
      </c>
      <c r="EC15" s="1552">
        <v>8</v>
      </c>
      <c r="ED15" s="1552">
        <v>8</v>
      </c>
      <c r="EE15" s="1552">
        <v>8</v>
      </c>
      <c r="EF15" s="1552">
        <v>8</v>
      </c>
      <c r="EG15" s="1552">
        <v>8</v>
      </c>
      <c r="EH15" s="1552">
        <v>8</v>
      </c>
      <c r="EI15" s="1552">
        <v>8</v>
      </c>
      <c r="EJ15" s="1552">
        <v>8</v>
      </c>
      <c r="EK15" s="1552">
        <v>8</v>
      </c>
      <c r="EL15" s="1552">
        <v>8</v>
      </c>
      <c r="EM15" s="1552">
        <v>8</v>
      </c>
      <c r="EN15" s="1552">
        <v>8</v>
      </c>
      <c r="EO15" s="1552">
        <v>8</v>
      </c>
      <c r="EP15" s="1552">
        <v>8</v>
      </c>
      <c r="EQ15" s="1552">
        <v>8</v>
      </c>
      <c r="ER15" s="1552">
        <v>8</v>
      </c>
      <c r="ES15" s="1552">
        <v>8</v>
      </c>
      <c r="ET15" s="1552">
        <v>8</v>
      </c>
      <c r="EU15" s="1552">
        <v>8</v>
      </c>
      <c r="EV15" s="1552">
        <v>8</v>
      </c>
      <c r="EW15" s="1552">
        <v>8</v>
      </c>
      <c r="EX15" s="1552">
        <v>8</v>
      </c>
      <c r="EY15" s="1552">
        <v>8</v>
      </c>
      <c r="EZ15" s="1552">
        <v>8</v>
      </c>
      <c r="FA15" s="1552">
        <v>8</v>
      </c>
      <c r="FB15" s="1552">
        <v>8</v>
      </c>
      <c r="FC15" s="1552">
        <v>8</v>
      </c>
      <c r="FD15" s="1552">
        <v>8</v>
      </c>
      <c r="FE15" s="1552">
        <v>8</v>
      </c>
      <c r="FF15" s="1552">
        <v>8</v>
      </c>
      <c r="FG15" s="1552">
        <v>8</v>
      </c>
      <c r="FH15" s="1552">
        <v>8</v>
      </c>
      <c r="FI15" s="1552">
        <v>8</v>
      </c>
      <c r="FJ15" s="1552">
        <v>8</v>
      </c>
      <c r="FK15" s="1552">
        <v>8</v>
      </c>
      <c r="FL15" s="1552">
        <v>8</v>
      </c>
      <c r="FM15" s="1552">
        <v>8</v>
      </c>
      <c r="FN15" s="1552">
        <v>8</v>
      </c>
      <c r="FO15" s="1552">
        <v>8</v>
      </c>
      <c r="FP15" s="1552">
        <v>8</v>
      </c>
      <c r="FQ15" s="1552">
        <v>8</v>
      </c>
      <c r="FR15" s="1552">
        <v>8</v>
      </c>
      <c r="FS15" s="1552">
        <v>8</v>
      </c>
      <c r="FT15" s="1552">
        <v>8</v>
      </c>
      <c r="FU15" s="1552">
        <v>8</v>
      </c>
      <c r="FV15" s="1552">
        <v>8</v>
      </c>
      <c r="FW15" s="1552">
        <v>8</v>
      </c>
      <c r="FX15" s="1552">
        <v>8</v>
      </c>
      <c r="FY15" s="1552">
        <v>8</v>
      </c>
      <c r="FZ15" s="1552">
        <v>8</v>
      </c>
      <c r="GA15" s="1552">
        <v>8</v>
      </c>
      <c r="GB15" s="1552">
        <v>8</v>
      </c>
      <c r="GC15" s="1552">
        <v>8</v>
      </c>
      <c r="GD15" s="1552">
        <v>8</v>
      </c>
      <c r="GE15" s="1552">
        <v>8</v>
      </c>
      <c r="GF15" s="1552">
        <v>8</v>
      </c>
      <c r="GG15" s="1552">
        <v>8</v>
      </c>
      <c r="GH15" s="1552">
        <v>8</v>
      </c>
      <c r="GI15" s="1552">
        <v>8</v>
      </c>
      <c r="GJ15" s="1552">
        <v>8</v>
      </c>
      <c r="GK15" s="1552">
        <v>8</v>
      </c>
      <c r="GL15" s="1552">
        <v>8</v>
      </c>
      <c r="GM15" s="1552">
        <v>8</v>
      </c>
      <c r="GN15" s="1552">
        <v>8</v>
      </c>
      <c r="GO15" s="1552">
        <v>8</v>
      </c>
      <c r="GP15" s="1552">
        <v>8</v>
      </c>
      <c r="GQ15" s="1552">
        <v>8</v>
      </c>
      <c r="GR15" s="1552">
        <v>8</v>
      </c>
      <c r="GS15" s="1552">
        <v>8</v>
      </c>
      <c r="GT15" s="1552">
        <v>8</v>
      </c>
      <c r="GU15" s="1552">
        <v>8</v>
      </c>
      <c r="GV15" s="1552">
        <v>8</v>
      </c>
      <c r="GW15" s="1552">
        <v>8</v>
      </c>
      <c r="GX15" s="1552">
        <v>8</v>
      </c>
      <c r="GY15" s="1552">
        <v>8</v>
      </c>
      <c r="GZ15" s="1552">
        <v>8</v>
      </c>
      <c r="HA15" s="1552">
        <v>8</v>
      </c>
      <c r="HB15" s="1552">
        <v>8</v>
      </c>
      <c r="HC15" s="1552">
        <v>8</v>
      </c>
      <c r="HD15" s="1552">
        <v>8</v>
      </c>
      <c r="HE15" s="1552">
        <v>8</v>
      </c>
      <c r="HF15" s="1552">
        <v>8</v>
      </c>
      <c r="HG15" s="1552">
        <v>8</v>
      </c>
      <c r="HH15" s="1552">
        <v>8</v>
      </c>
      <c r="HI15" s="1552">
        <v>8</v>
      </c>
      <c r="HJ15" s="1552">
        <v>8</v>
      </c>
      <c r="HK15" s="1552">
        <v>8</v>
      </c>
      <c r="HL15" s="1552">
        <v>8</v>
      </c>
      <c r="HM15" s="1552">
        <v>8</v>
      </c>
      <c r="HN15" s="1552">
        <v>8</v>
      </c>
      <c r="HO15" s="1552">
        <v>8</v>
      </c>
      <c r="HP15" s="1552">
        <v>8</v>
      </c>
      <c r="HQ15" s="1552">
        <v>8</v>
      </c>
      <c r="HR15" s="1552">
        <v>8</v>
      </c>
      <c r="HS15" s="1552">
        <v>8</v>
      </c>
      <c r="HT15" s="1552">
        <v>8</v>
      </c>
      <c r="HU15" s="1552">
        <v>8</v>
      </c>
      <c r="HV15" s="1552">
        <v>8</v>
      </c>
      <c r="HW15" s="1552">
        <v>8</v>
      </c>
      <c r="HX15" s="1552">
        <v>8</v>
      </c>
      <c r="HY15" s="1552">
        <v>8</v>
      </c>
      <c r="HZ15" s="1552">
        <v>8</v>
      </c>
      <c r="IA15" s="1552">
        <v>8</v>
      </c>
      <c r="IB15" s="1552">
        <v>8</v>
      </c>
      <c r="IC15" s="1552">
        <v>8</v>
      </c>
      <c r="ID15" s="1552">
        <v>8</v>
      </c>
      <c r="IE15" s="1552">
        <v>8</v>
      </c>
      <c r="IF15" s="1552">
        <v>8</v>
      </c>
      <c r="IG15" s="1552">
        <v>8</v>
      </c>
      <c r="IH15" s="1552">
        <v>8</v>
      </c>
      <c r="II15" s="1552">
        <v>8</v>
      </c>
      <c r="IJ15" s="1552">
        <v>8</v>
      </c>
      <c r="IK15" s="1552">
        <v>8</v>
      </c>
      <c r="IL15" s="1552">
        <v>8</v>
      </c>
      <c r="IM15" s="1552">
        <v>8</v>
      </c>
      <c r="IN15" s="1552">
        <v>8</v>
      </c>
      <c r="IO15" s="1552">
        <v>8</v>
      </c>
      <c r="IP15" s="1552">
        <v>8</v>
      </c>
      <c r="IQ15" s="1552">
        <v>8</v>
      </c>
      <c r="IR15" s="1552">
        <v>8</v>
      </c>
      <c r="IS15" s="1552">
        <v>8</v>
      </c>
      <c r="IT15" s="1552">
        <v>8</v>
      </c>
      <c r="IU15" s="1552">
        <v>8</v>
      </c>
      <c r="IV15" s="1552">
        <v>8</v>
      </c>
      <c r="IW15" s="1552">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4267" hidden="1"/>
    <col min="2" max="2" width="9.140625" style="4274" hidden="1"/>
    <col min="3" max="3" width="3.7109375" style="4267" hidden="1" customWidth="1"/>
    <col min="4" max="4" width="3" style="4280" customWidth="1"/>
    <col min="5" max="5" width="6" style="4267" customWidth="1"/>
    <col min="6" max="6" width="27" style="4267" customWidth="1"/>
    <col min="7" max="7" width="29" style="4267" customWidth="1"/>
    <col min="8" max="8" width="25" style="4267" customWidth="1"/>
    <col min="9" max="9" width="5" style="4267" customWidth="1"/>
    <col min="10" max="10" width="6" style="4267" customWidth="1"/>
    <col min="11" max="11" width="41" style="4267" customWidth="1"/>
    <col min="12" max="12" width="42" style="4267" customWidth="1"/>
    <col min="13" max="13" width="41" style="4267" customWidth="1"/>
    <col min="14" max="14" width="89" style="4267" customWidth="1"/>
    <col min="15" max="15" width="3" style="4281" customWidth="1"/>
    <col min="16" max="16" width="8" style="4281" customWidth="1"/>
    <col min="17" max="17" width="9.140625" style="4267" hidden="1"/>
  </cols>
  <sheetData>
    <row r="1" spans="1:17" ht="22.5" hidden="1" customHeight="1">
      <c r="Q1" s="1076" t="s">
        <v>14</v>
      </c>
    </row>
    <row r="2" spans="1:17" s="4278" customFormat="1" ht="22.5" hidden="1" customHeight="1">
      <c r="A2" s="434"/>
      <c r="B2" s="1081">
        <v>1</v>
      </c>
      <c r="C2" s="1081"/>
      <c r="D2" s="1843" t="s">
        <v>104</v>
      </c>
      <c r="E2" s="5328">
        <v>1</v>
      </c>
      <c r="F2" s="5508" t="str">
        <f>IF(region_name="","",region_name)</f>
        <v>Приморский край</v>
      </c>
      <c r="G2" s="5657"/>
      <c r="H2" s="5658"/>
      <c r="I2" s="412"/>
      <c r="J2" s="1828">
        <v>1</v>
      </c>
      <c r="K2" s="1830"/>
      <c r="L2" s="1830"/>
      <c r="M2" s="1830"/>
      <c r="N2" s="430"/>
      <c r="O2" s="1456"/>
      <c r="P2" s="449"/>
      <c r="Q2" s="361">
        <v>0</v>
      </c>
    </row>
    <row r="3" spans="1:17" s="4278" customFormat="1" ht="22.5" hidden="1" customHeight="1">
      <c r="A3" s="763"/>
      <c r="B3" s="1081"/>
      <c r="C3" s="1081"/>
      <c r="D3" s="733"/>
      <c r="E3" s="5328"/>
      <c r="F3" s="5508"/>
      <c r="G3" s="5657"/>
      <c r="H3" s="5659"/>
      <c r="I3" s="359"/>
      <c r="J3" s="1421"/>
      <c r="K3" s="1421" t="s">
        <v>1977</v>
      </c>
      <c r="L3" s="1464"/>
      <c r="M3" s="1838"/>
      <c r="N3" s="1831"/>
      <c r="O3" s="1456"/>
      <c r="P3" s="449"/>
      <c r="Q3" s="361">
        <v>0</v>
      </c>
    </row>
    <row r="4" spans="1:17" s="4275" customFormat="1" ht="5.25" hidden="1" customHeight="1">
      <c r="A4" s="434"/>
      <c r="D4" s="432"/>
      <c r="F4" s="185" t="s">
        <v>83</v>
      </c>
      <c r="G4" s="432" t="s">
        <v>84</v>
      </c>
      <c r="H4" s="432"/>
      <c r="I4" s="1841"/>
      <c r="J4" s="1465"/>
      <c r="K4" s="1829"/>
      <c r="L4" s="1829"/>
      <c r="M4" s="1829"/>
      <c r="N4" s="1825"/>
      <c r="O4" s="185" t="s">
        <v>83</v>
      </c>
      <c r="P4" s="185"/>
      <c r="Q4" s="449">
        <v>0</v>
      </c>
    </row>
    <row r="5" spans="1:17" s="4278" customFormat="1" ht="22.5" hidden="1" customHeight="1">
      <c r="A5" s="1562"/>
      <c r="B5" s="1287">
        <v>1</v>
      </c>
      <c r="C5" s="1287"/>
      <c r="D5" s="733"/>
      <c r="E5" s="1831"/>
      <c r="F5" s="1831"/>
      <c r="G5" s="1831"/>
      <c r="H5" s="1842"/>
      <c r="I5" s="1844" t="s">
        <v>104</v>
      </c>
      <c r="J5" s="1840">
        <v>1</v>
      </c>
      <c r="K5" s="1830"/>
      <c r="L5" s="1830"/>
      <c r="M5" s="1830"/>
      <c r="N5" s="430"/>
      <c r="O5" s="1456"/>
      <c r="P5" s="1557"/>
      <c r="Q5" s="562">
        <v>0</v>
      </c>
    </row>
    <row r="6" spans="1:17" s="4277" customFormat="1" ht="14.65" customHeight="1">
      <c r="A6" s="1076"/>
      <c r="B6" s="1081"/>
      <c r="C6" s="1076"/>
      <c r="D6" s="1416"/>
      <c r="E6" s="447"/>
      <c r="F6" s="447"/>
      <c r="G6" s="447"/>
      <c r="H6" s="447"/>
      <c r="I6" s="447"/>
      <c r="J6" s="447"/>
      <c r="K6" s="447"/>
      <c r="L6" s="447"/>
      <c r="M6" s="447"/>
      <c r="N6" s="1556"/>
      <c r="O6" s="185"/>
      <c r="P6" s="438"/>
      <c r="Q6" s="445">
        <v>14</v>
      </c>
    </row>
    <row r="7" spans="1:17" s="4277" customFormat="1" ht="27.4" customHeight="1">
      <c r="A7" s="1076"/>
      <c r="B7" s="1081"/>
      <c r="C7" s="1076"/>
      <c r="D7" s="1416"/>
      <c r="E7" s="565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5651"/>
      <c r="G7" s="5651"/>
      <c r="H7" s="5651"/>
      <c r="I7" s="5651"/>
      <c r="J7" s="5651"/>
      <c r="K7" s="5651"/>
      <c r="L7" s="5651"/>
      <c r="M7" s="5651"/>
      <c r="N7" s="1173"/>
      <c r="O7" s="185"/>
      <c r="P7" s="438"/>
      <c r="Q7" s="445">
        <v>26</v>
      </c>
    </row>
    <row r="8" spans="1:17" s="4277" customFormat="1" ht="14.65" customHeight="1">
      <c r="A8" s="1076"/>
      <c r="B8" s="1081"/>
      <c r="C8" s="1076"/>
      <c r="D8" s="1416"/>
      <c r="E8" s="447"/>
      <c r="F8" s="105"/>
      <c r="G8" s="105"/>
      <c r="H8" s="105"/>
      <c r="I8" s="105"/>
      <c r="J8" s="105"/>
      <c r="K8" s="105"/>
      <c r="L8" s="105"/>
      <c r="M8" s="105"/>
      <c r="N8" s="554"/>
      <c r="O8" s="438"/>
      <c r="P8" s="438"/>
      <c r="Q8" s="445">
        <v>14</v>
      </c>
    </row>
    <row r="9" spans="1:17" s="5276" customFormat="1" ht="14.25" hidden="1" customHeight="1">
      <c r="A9" s="1389"/>
      <c r="B9" s="1399"/>
      <c r="C9" s="1389"/>
      <c r="D9" s="1416"/>
      <c r="E9" s="1832"/>
      <c r="F9" s="1832"/>
      <c r="G9" s="1832"/>
      <c r="H9" s="1832"/>
      <c r="I9" s="5654"/>
      <c r="J9" s="5654"/>
      <c r="K9" s="5654"/>
      <c r="L9" s="1832"/>
      <c r="M9" s="1833"/>
      <c r="O9" s="1466"/>
      <c r="P9" s="1466"/>
      <c r="Q9" s="1467">
        <v>0</v>
      </c>
    </row>
    <row r="10" spans="1:17" s="4277" customFormat="1" ht="14.65" customHeight="1">
      <c r="A10" s="1076"/>
      <c r="B10" s="1081"/>
      <c r="C10" s="1076"/>
      <c r="D10" s="1416"/>
      <c r="E10" s="5328" t="s">
        <v>393</v>
      </c>
      <c r="F10" s="5328"/>
      <c r="G10" s="5328"/>
      <c r="H10" s="5328"/>
      <c r="I10" s="5328"/>
      <c r="J10" s="5328"/>
      <c r="K10" s="5328"/>
      <c r="L10" s="5328"/>
      <c r="M10" s="5309"/>
      <c r="N10" s="5644" t="s">
        <v>394</v>
      </c>
      <c r="O10" s="438"/>
      <c r="P10" s="438"/>
      <c r="Q10" s="445">
        <v>14</v>
      </c>
    </row>
    <row r="11" spans="1:17" s="4277" customFormat="1" ht="44.25" customHeight="1">
      <c r="A11" s="1552"/>
      <c r="B11" s="1287"/>
      <c r="C11" s="1552"/>
      <c r="D11" s="1436"/>
      <c r="E11" s="5653" t="s">
        <v>88</v>
      </c>
      <c r="F11" s="5653" t="s">
        <v>397</v>
      </c>
      <c r="G11" s="5653" t="s">
        <v>1978</v>
      </c>
      <c r="H11" s="5653"/>
      <c r="I11" s="5653" t="s">
        <v>1979</v>
      </c>
      <c r="J11" s="5653"/>
      <c r="K11" s="5653"/>
      <c r="L11" s="5653" t="s">
        <v>1980</v>
      </c>
      <c r="M11" s="5646" t="s">
        <v>1981</v>
      </c>
      <c r="N11" s="5652"/>
      <c r="O11" s="1545"/>
      <c r="P11" s="1545"/>
      <c r="Q11" s="1530">
        <v>42</v>
      </c>
    </row>
    <row r="12" spans="1:17" s="4277" customFormat="1" ht="29.25" customHeight="1">
      <c r="A12" s="1076"/>
      <c r="B12" s="1081"/>
      <c r="C12" s="1076"/>
      <c r="D12" s="1416"/>
      <c r="E12" s="5644"/>
      <c r="F12" s="5653"/>
      <c r="G12" s="1827" t="s">
        <v>1982</v>
      </c>
      <c r="H12" s="1827" t="s">
        <v>401</v>
      </c>
      <c r="I12" s="5653"/>
      <c r="J12" s="5653"/>
      <c r="K12" s="5653"/>
      <c r="L12" s="5653"/>
      <c r="M12" s="5646"/>
      <c r="N12" s="5645"/>
      <c r="O12" s="438"/>
      <c r="P12" s="438"/>
      <c r="Q12" s="445">
        <v>28</v>
      </c>
    </row>
    <row r="13" spans="1:17" s="4278" customFormat="1" ht="23.25" customHeight="1">
      <c r="A13" s="5312">
        <v>26379339</v>
      </c>
      <c r="B13" s="1081">
        <v>1</v>
      </c>
      <c r="C13" s="1081"/>
      <c r="D13" s="733"/>
      <c r="E13" s="5328">
        <v>1</v>
      </c>
      <c r="F13" s="5660" t="str">
        <f>IF(region_name="","",region_name)</f>
        <v>Приморский край</v>
      </c>
      <c r="G13" s="5661"/>
      <c r="H13" s="5655"/>
      <c r="I13" s="412"/>
      <c r="J13" s="1823">
        <v>1</v>
      </c>
      <c r="K13" s="1836"/>
      <c r="L13" s="1837"/>
      <c r="M13" s="1837"/>
      <c r="N13" s="5649" t="s">
        <v>1983</v>
      </c>
      <c r="O13" s="1456"/>
      <c r="P13" s="449"/>
      <c r="Q13" s="361">
        <v>22</v>
      </c>
    </row>
    <row r="14" spans="1:17" s="4278" customFormat="1" ht="23.25" customHeight="1">
      <c r="A14" s="5312"/>
      <c r="B14" s="1081"/>
      <c r="C14" s="1081"/>
      <c r="D14" s="733"/>
      <c r="E14" s="5328"/>
      <c r="F14" s="5660"/>
      <c r="G14" s="5661"/>
      <c r="H14" s="5656"/>
      <c r="I14" s="359"/>
      <c r="J14" s="1421"/>
      <c r="K14" s="1421" t="s">
        <v>1977</v>
      </c>
      <c r="L14" s="1464"/>
      <c r="M14" s="1464"/>
      <c r="N14" s="5650"/>
      <c r="O14" s="1456"/>
      <c r="P14" s="449"/>
      <c r="Q14" s="361">
        <v>22</v>
      </c>
    </row>
    <row r="15" spans="1:17" s="4278" customFormat="1" ht="23.25" customHeight="1">
      <c r="A15" s="5312"/>
      <c r="B15" s="1081"/>
      <c r="C15" s="350"/>
      <c r="D15" s="733"/>
      <c r="E15" s="359"/>
      <c r="F15" s="1421" t="s">
        <v>1969</v>
      </c>
      <c r="G15" s="1463"/>
      <c r="H15" s="1463"/>
      <c r="I15" s="125"/>
      <c r="J15" s="125"/>
      <c r="K15" s="125"/>
      <c r="L15" s="125"/>
      <c r="M15" s="125"/>
      <c r="N15" s="5650"/>
      <c r="O15" s="1457"/>
      <c r="P15" s="449"/>
      <c r="Q15" s="361">
        <v>22</v>
      </c>
    </row>
    <row r="16" spans="1:17" s="4277" customFormat="1" ht="21.95" customHeight="1">
      <c r="A16" s="1076"/>
      <c r="B16" s="1081"/>
      <c r="C16" s="1076"/>
      <c r="D16" s="389"/>
      <c r="E16" s="118"/>
      <c r="F16" s="118"/>
      <c r="G16" s="118"/>
      <c r="H16" s="118"/>
      <c r="I16" s="118"/>
      <c r="J16" s="118"/>
      <c r="K16" s="118"/>
      <c r="L16" s="118"/>
      <c r="M16" s="447"/>
      <c r="N16" s="1556"/>
      <c r="O16" s="438"/>
      <c r="P16" s="438"/>
      <c r="Q16" s="445">
        <v>21</v>
      </c>
    </row>
    <row r="17" spans="1:17" s="4277" customFormat="1" ht="14.65" customHeight="1">
      <c r="A17" s="1076"/>
      <c r="B17" s="1081"/>
      <c r="C17" s="1076"/>
      <c r="D17" s="389"/>
      <c r="E17" s="1076"/>
      <c r="F17" s="1076"/>
      <c r="G17" s="1076"/>
      <c r="H17" s="1076"/>
      <c r="I17" s="1076"/>
      <c r="J17" s="1076"/>
      <c r="K17" s="1076"/>
      <c r="L17" s="1076"/>
      <c r="M17" s="1076"/>
      <c r="N17" s="1552"/>
      <c r="O17" s="438"/>
      <c r="P17" s="438"/>
      <c r="Q17" s="445">
        <v>14</v>
      </c>
    </row>
    <row r="18" spans="1:17" s="4277" customFormat="1" ht="1.1499999999999999" customHeight="1">
      <c r="A18" s="1076"/>
      <c r="B18" s="1081"/>
      <c r="C18" s="1076"/>
      <c r="D18" s="389"/>
      <c r="E18" s="1076"/>
      <c r="F18" s="1076"/>
      <c r="G18" s="1076"/>
      <c r="H18" s="1076"/>
      <c r="I18" s="1076"/>
      <c r="J18" s="1076"/>
      <c r="K18" s="1076"/>
      <c r="L18" s="1076"/>
      <c r="M18" s="1076"/>
      <c r="N18" s="1552"/>
      <c r="O18" s="438"/>
      <c r="P18" s="438"/>
      <c r="Q18" s="445">
        <v>1</v>
      </c>
    </row>
    <row r="19" spans="1:17" ht="22.5" hidden="1" customHeight="1">
      <c r="A19" s="1076" t="s">
        <v>82</v>
      </c>
      <c r="B19" s="1081">
        <v>0</v>
      </c>
      <c r="C19" s="1076">
        <v>0</v>
      </c>
      <c r="D19" s="389">
        <v>3</v>
      </c>
      <c r="E19" s="1076">
        <v>6</v>
      </c>
      <c r="F19" s="1076">
        <v>27</v>
      </c>
      <c r="G19" s="1076">
        <v>29</v>
      </c>
      <c r="H19" s="1076">
        <v>25</v>
      </c>
      <c r="I19" s="1076">
        <v>5</v>
      </c>
      <c r="J19" s="1076">
        <v>6</v>
      </c>
      <c r="K19" s="1076">
        <v>41</v>
      </c>
      <c r="L19" s="1076">
        <v>42</v>
      </c>
      <c r="M19" s="1076">
        <v>41</v>
      </c>
      <c r="N19" s="1552">
        <v>89</v>
      </c>
      <c r="O19" s="438">
        <v>3</v>
      </c>
      <c r="P19" s="438">
        <v>8</v>
      </c>
      <c r="Q19" s="1076">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4291" hidden="1"/>
    <col min="2" max="2" width="9.140625" style="5268" hidden="1"/>
    <col min="3" max="3" width="3" style="5277" customWidth="1"/>
    <col min="4" max="4" width="6" style="5268" customWidth="1"/>
    <col min="5" max="5" width="22" style="5268" customWidth="1"/>
    <col min="6" max="6" width="15" style="5268" customWidth="1"/>
    <col min="7" max="7" width="14" style="5268" customWidth="1"/>
    <col min="8" max="8" width="47" style="5268" customWidth="1"/>
    <col min="9" max="9" width="115" style="5268" customWidth="1"/>
    <col min="10" max="10" width="3" style="5268" customWidth="1"/>
    <col min="11" max="12" width="8" style="5268" customWidth="1"/>
    <col min="13" max="13" width="9.140625" style="5268" hidden="1"/>
  </cols>
  <sheetData>
    <row r="1" spans="1:13" ht="14.25" hidden="1" customHeight="1">
      <c r="M1" s="62" t="s">
        <v>14</v>
      </c>
    </row>
    <row r="2" spans="1:13" ht="14.25" hidden="1" customHeight="1">
      <c r="M2" s="62">
        <v>0</v>
      </c>
    </row>
    <row r="3" spans="1:13" ht="14.25" hidden="1" customHeight="1">
      <c r="M3" s="62">
        <v>0</v>
      </c>
    </row>
    <row r="4" spans="1:13" ht="3" customHeight="1">
      <c r="M4" s="62">
        <v>3</v>
      </c>
    </row>
    <row r="5" spans="1:13" s="4267" customFormat="1" ht="31.5" customHeight="1">
      <c r="A5" s="56"/>
      <c r="C5" s="31"/>
      <c r="D5" s="5313" t="s">
        <v>1984</v>
      </c>
      <c r="E5" s="5313"/>
      <c r="F5" s="5313"/>
      <c r="G5" s="5313"/>
      <c r="H5" s="5313"/>
      <c r="I5" s="203"/>
      <c r="M5" s="24">
        <v>30</v>
      </c>
    </row>
    <row r="6" spans="1:13" ht="3" hidden="1" customHeight="1">
      <c r="D6" s="63"/>
      <c r="E6" s="63"/>
      <c r="F6" s="63"/>
      <c r="G6" s="63"/>
      <c r="H6" s="63"/>
      <c r="I6" s="63"/>
      <c r="M6" s="62">
        <v>0</v>
      </c>
    </row>
    <row r="7" spans="1:13" s="4291" customFormat="1" ht="14.65" customHeight="1">
      <c r="B7" s="60"/>
      <c r="C7" s="61"/>
      <c r="D7" s="64"/>
      <c r="E7" s="64"/>
      <c r="F7" s="64"/>
      <c r="G7" s="64"/>
      <c r="H7" s="690"/>
      <c r="I7" s="64"/>
      <c r="J7" s="65"/>
      <c r="M7" s="59">
        <v>14</v>
      </c>
    </row>
    <row r="8" spans="1:13" ht="14.65" customHeight="1">
      <c r="D8" s="5431" t="s">
        <v>393</v>
      </c>
      <c r="E8" s="5431"/>
      <c r="F8" s="5431"/>
      <c r="G8" s="5431"/>
      <c r="H8" s="5431"/>
      <c r="I8" s="5431" t="s">
        <v>394</v>
      </c>
      <c r="M8" s="62">
        <v>14</v>
      </c>
    </row>
    <row r="9" spans="1:13" ht="29.25" customHeight="1">
      <c r="D9" s="5431" t="s">
        <v>88</v>
      </c>
      <c r="E9" s="5431" t="s">
        <v>1985</v>
      </c>
      <c r="F9" s="5431"/>
      <c r="G9" s="5431"/>
      <c r="H9" s="5431"/>
      <c r="I9" s="5431"/>
      <c r="M9" s="62">
        <v>28</v>
      </c>
    </row>
    <row r="10" spans="1:13" ht="24" customHeight="1">
      <c r="D10" s="5431"/>
      <c r="E10" s="68" t="s">
        <v>1986</v>
      </c>
      <c r="F10" s="68" t="s">
        <v>1987</v>
      </c>
      <c r="G10" s="68" t="s">
        <v>1988</v>
      </c>
      <c r="H10" s="68" t="s">
        <v>483</v>
      </c>
      <c r="I10" s="5431"/>
      <c r="M10" s="62">
        <v>23</v>
      </c>
    </row>
    <row r="11" spans="1:13" ht="12" hidden="1" customHeight="1">
      <c r="D11" s="28" t="s">
        <v>136</v>
      </c>
      <c r="E11" s="28" t="s">
        <v>91</v>
      </c>
      <c r="F11" s="28" t="s">
        <v>116</v>
      </c>
      <c r="G11" s="28" t="s">
        <v>92</v>
      </c>
      <c r="H11" s="28" t="s">
        <v>93</v>
      </c>
      <c r="I11" s="28" t="s">
        <v>129</v>
      </c>
      <c r="M11" s="62">
        <v>0</v>
      </c>
    </row>
    <row r="12" spans="1:13" s="5268" customFormat="1" ht="26.25" customHeight="1">
      <c r="A12" s="84" t="s">
        <v>90</v>
      </c>
      <c r="B12" s="66" t="s">
        <v>28</v>
      </c>
      <c r="C12" s="67"/>
      <c r="D12" s="69" t="s">
        <v>136</v>
      </c>
      <c r="E12" s="319"/>
      <c r="F12" s="319"/>
      <c r="G12" s="1654" t="s">
        <v>28</v>
      </c>
      <c r="H12" s="320"/>
      <c r="I12" s="5377" t="s">
        <v>1989</v>
      </c>
      <c r="K12" s="210"/>
      <c r="L12" s="211"/>
      <c r="M12" s="58">
        <v>25</v>
      </c>
    </row>
    <row r="13" spans="1:13" ht="15.75" customHeight="1">
      <c r="A13" s="62"/>
      <c r="B13" s="62"/>
      <c r="C13" s="62"/>
      <c r="D13" s="50"/>
      <c r="E13" s="71" t="s">
        <v>558</v>
      </c>
      <c r="F13" s="70"/>
      <c r="G13" s="70"/>
      <c r="H13" s="152"/>
      <c r="I13" s="5379"/>
      <c r="M13" s="62">
        <v>15</v>
      </c>
    </row>
    <row r="14" spans="1:13" ht="3" customHeight="1">
      <c r="A14" s="62"/>
      <c r="B14" s="62"/>
      <c r="C14" s="62"/>
      <c r="M14" s="62">
        <v>3</v>
      </c>
    </row>
    <row r="15" spans="1:13" ht="29.25" customHeight="1">
      <c r="E15" s="5662" t="s">
        <v>1990</v>
      </c>
      <c r="F15" s="5662"/>
      <c r="G15" s="5662"/>
      <c r="H15" s="5662"/>
      <c r="M15" s="62">
        <v>28</v>
      </c>
    </row>
    <row r="16" spans="1:13" ht="14.25" hidden="1" customHeight="1">
      <c r="A16" s="59" t="s">
        <v>82</v>
      </c>
      <c r="B16" s="60">
        <v>0</v>
      </c>
      <c r="C16" s="61">
        <v>3</v>
      </c>
      <c r="D16" s="62">
        <v>6</v>
      </c>
      <c r="E16" s="62">
        <v>22</v>
      </c>
      <c r="F16" s="62">
        <v>15</v>
      </c>
      <c r="G16" s="62">
        <v>14</v>
      </c>
      <c r="H16" s="62">
        <v>47</v>
      </c>
      <c r="I16" s="62">
        <v>115</v>
      </c>
      <c r="J16" s="62">
        <v>3</v>
      </c>
      <c r="K16" s="62">
        <v>8</v>
      </c>
      <c r="L16" s="62">
        <v>8</v>
      </c>
      <c r="M16" s="62">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5278" hidden="1"/>
    <col min="3" max="3" width="3" style="5279" customWidth="1"/>
    <col min="4" max="4" width="6" style="5278" customWidth="1"/>
    <col min="5" max="5" width="94" style="5278" customWidth="1"/>
    <col min="6" max="9" width="8" style="5278" customWidth="1"/>
    <col min="10" max="10" width="9.140625" style="5278" hidden="1"/>
  </cols>
  <sheetData>
    <row r="1" spans="1:10" ht="14.25" hidden="1" customHeight="1">
      <c r="J1" s="10" t="s">
        <v>14</v>
      </c>
    </row>
    <row r="2" spans="1:10" ht="14.25" hidden="1" customHeight="1">
      <c r="J2" s="10">
        <v>0</v>
      </c>
    </row>
    <row r="3" spans="1:10" ht="14.25" hidden="1" customHeight="1">
      <c r="J3" s="10">
        <v>0</v>
      </c>
    </row>
    <row r="4" spans="1:10" ht="14.25" hidden="1" customHeight="1">
      <c r="J4" s="10">
        <v>0</v>
      </c>
    </row>
    <row r="5" spans="1:10" ht="14.25" hidden="1" customHeight="1">
      <c r="J5" s="10">
        <v>0</v>
      </c>
    </row>
    <row r="6" spans="1:10" ht="3" customHeight="1">
      <c r="C6" s="33"/>
      <c r="D6" s="11"/>
      <c r="E6" s="11"/>
      <c r="J6" s="10">
        <v>3</v>
      </c>
    </row>
    <row r="7" spans="1:10" ht="23.25" customHeight="1">
      <c r="C7" s="33"/>
      <c r="D7" s="5663" t="s">
        <v>1991</v>
      </c>
      <c r="E7" s="5664"/>
      <c r="F7" s="205"/>
      <c r="J7" s="10">
        <v>22</v>
      </c>
    </row>
    <row r="8" spans="1:10" ht="3" customHeight="1">
      <c r="C8" s="33"/>
      <c r="D8" s="11"/>
      <c r="E8" s="11"/>
      <c r="J8" s="10">
        <v>3</v>
      </c>
    </row>
    <row r="9" spans="1:10" ht="16.899999999999999" customHeight="1">
      <c r="C9" s="33"/>
      <c r="D9" s="46" t="s">
        <v>88</v>
      </c>
      <c r="E9" s="198" t="s">
        <v>1992</v>
      </c>
      <c r="J9" s="10">
        <v>16</v>
      </c>
    </row>
    <row r="10" spans="1:10" ht="1.1499999999999999" customHeight="1">
      <c r="C10" s="33"/>
      <c r="D10" s="28"/>
      <c r="E10" s="28"/>
      <c r="J10" s="10">
        <v>1</v>
      </c>
    </row>
    <row r="11" spans="1:10" ht="11.25" hidden="1" customHeight="1">
      <c r="C11" s="33"/>
      <c r="D11" s="89">
        <v>0</v>
      </c>
      <c r="E11" s="199"/>
      <c r="J11" s="10">
        <v>0</v>
      </c>
    </row>
    <row r="12" spans="1:10" ht="29.25" customHeight="1">
      <c r="C12" s="76"/>
      <c r="D12" s="54">
        <v>1</v>
      </c>
      <c r="E12" s="315" t="s">
        <v>1993</v>
      </c>
      <c r="J12" s="10">
        <v>15</v>
      </c>
    </row>
    <row r="13" spans="1:10" ht="12.75" customHeight="1">
      <c r="C13" s="33"/>
      <c r="D13" s="200"/>
      <c r="E13" s="201" t="s">
        <v>1994</v>
      </c>
      <c r="J13" s="10">
        <v>12</v>
      </c>
    </row>
    <row r="14" spans="1:10" ht="3" customHeight="1">
      <c r="J14" s="10">
        <v>3</v>
      </c>
    </row>
    <row r="15" spans="1:10" ht="23.25" customHeight="1">
      <c r="C15" s="77"/>
      <c r="D15" s="5662" t="s">
        <v>1995</v>
      </c>
      <c r="E15" s="5662"/>
      <c r="F15" s="78"/>
      <c r="G15" s="78"/>
      <c r="H15" s="78"/>
      <c r="I15" s="78"/>
      <c r="J15" s="10">
        <v>22</v>
      </c>
    </row>
    <row r="16" spans="1:10" ht="14.25" hidden="1" customHeight="1">
      <c r="A16" s="10" t="s">
        <v>82</v>
      </c>
      <c r="B16" s="10">
        <v>0</v>
      </c>
      <c r="C16" s="32">
        <v>3</v>
      </c>
      <c r="D16" s="10">
        <v>6</v>
      </c>
      <c r="E16" s="10">
        <v>94</v>
      </c>
      <c r="F16" s="10">
        <v>8</v>
      </c>
      <c r="G16" s="10">
        <v>8</v>
      </c>
      <c r="H16" s="10">
        <v>8</v>
      </c>
      <c r="I16" s="10">
        <v>8</v>
      </c>
      <c r="J16" s="10">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abSelected="1" topLeftCell="C6" zoomScale="90" workbookViewId="0"/>
  </sheetViews>
  <sheetFormatPr defaultColWidth="9.140625" defaultRowHeight="14.25" customHeight="1"/>
  <cols>
    <col min="1" max="2" width="9.140625" style="5278" hidden="1"/>
    <col min="3" max="3" width="3" style="5279" customWidth="1"/>
    <col min="4" max="4" width="6" style="5278" customWidth="1"/>
    <col min="5" max="5" width="94" style="5278" customWidth="1"/>
    <col min="6" max="12" width="8" style="5278" customWidth="1"/>
    <col min="13" max="13" width="9.140625" style="5278" hidden="1"/>
  </cols>
  <sheetData>
    <row r="1" spans="1:13" ht="14.25" hidden="1" customHeight="1">
      <c r="L1" s="202"/>
      <c r="M1" s="10" t="s">
        <v>14</v>
      </c>
    </row>
    <row r="2" spans="1:13" ht="14.25" hidden="1" customHeight="1">
      <c r="M2" s="10">
        <v>0</v>
      </c>
    </row>
    <row r="3" spans="1:13" ht="14.25" hidden="1" customHeight="1">
      <c r="M3" s="10">
        <v>0</v>
      </c>
    </row>
    <row r="4" spans="1:13" ht="14.25" hidden="1" customHeight="1">
      <c r="M4" s="10">
        <v>0</v>
      </c>
    </row>
    <row r="5" spans="1:13" ht="14.25" hidden="1" customHeight="1">
      <c r="M5" s="10">
        <v>0</v>
      </c>
    </row>
    <row r="6" spans="1:13" ht="3" customHeight="1">
      <c r="C6" s="33"/>
      <c r="D6" s="11"/>
      <c r="E6" s="11"/>
      <c r="M6" s="10">
        <v>3</v>
      </c>
    </row>
    <row r="7" spans="1:13" ht="23.25" customHeight="1">
      <c r="C7" s="33"/>
      <c r="D7" s="5313" t="s">
        <v>1996</v>
      </c>
      <c r="E7" s="5313"/>
      <c r="F7" s="205"/>
      <c r="M7" s="10">
        <v>22</v>
      </c>
    </row>
    <row r="8" spans="1:13" ht="3" customHeight="1">
      <c r="C8" s="33"/>
      <c r="D8" s="11"/>
      <c r="E8" s="11"/>
      <c r="M8" s="10">
        <v>3</v>
      </c>
    </row>
    <row r="9" spans="1:13" ht="16.899999999999999" customHeight="1">
      <c r="C9" s="33"/>
      <c r="D9" s="46" t="s">
        <v>88</v>
      </c>
      <c r="E9" s="49" t="s">
        <v>380</v>
      </c>
      <c r="M9" s="10">
        <v>16</v>
      </c>
    </row>
    <row r="10" spans="1:13" ht="12.75" customHeight="1">
      <c r="C10" s="33"/>
      <c r="D10" s="28" t="s">
        <v>136</v>
      </c>
      <c r="E10" s="28" t="s">
        <v>103</v>
      </c>
      <c r="M10" s="10">
        <v>12</v>
      </c>
    </row>
    <row r="11" spans="1:13" ht="15" hidden="1" customHeight="1">
      <c r="C11" s="33"/>
      <c r="D11" s="54">
        <v>0</v>
      </c>
      <c r="E11" s="88"/>
      <c r="M11" s="10">
        <v>0</v>
      </c>
    </row>
    <row r="12" spans="1:13" ht="14.65" customHeight="1">
      <c r="C12" s="33"/>
      <c r="D12" s="50"/>
      <c r="E12" s="48" t="s">
        <v>1994</v>
      </c>
      <c r="M12" s="10">
        <v>14</v>
      </c>
    </row>
    <row r="13" spans="1:13" ht="14.25" hidden="1" customHeight="1">
      <c r="A13" s="10" t="s">
        <v>82</v>
      </c>
      <c r="B13" s="10">
        <v>0</v>
      </c>
      <c r="C13" s="32">
        <v>3</v>
      </c>
      <c r="D13" s="10">
        <v>6</v>
      </c>
      <c r="E13" s="10">
        <v>94</v>
      </c>
      <c r="F13" s="10">
        <v>8</v>
      </c>
      <c r="G13" s="10">
        <v>8</v>
      </c>
      <c r="H13" s="10">
        <v>8</v>
      </c>
      <c r="I13" s="10">
        <v>8</v>
      </c>
      <c r="J13" s="10">
        <v>8</v>
      </c>
      <c r="K13" s="10">
        <v>8</v>
      </c>
      <c r="L13" s="10">
        <v>8</v>
      </c>
      <c r="M13" s="10">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4278" hidden="1"/>
    <col min="3" max="4" width="3" style="4278" customWidth="1"/>
    <col min="5" max="6" width="15" style="4278" customWidth="1"/>
    <col min="7" max="7" width="11.5703125" style="4278" customWidth="1"/>
    <col min="8" max="9" width="3" style="4278" customWidth="1"/>
    <col min="10" max="10" width="12" style="4278" customWidth="1"/>
    <col min="11" max="11" width="0.28515625" style="4278" customWidth="1"/>
    <col min="12" max="13" width="10" style="4278" customWidth="1"/>
    <col min="14" max="15" width="3" style="4278" customWidth="1"/>
    <col min="16" max="16" width="19" style="4278" customWidth="1"/>
    <col min="17" max="17" width="0.28515625" style="4278" customWidth="1"/>
    <col min="18" max="19" width="10" style="4278" customWidth="1"/>
    <col min="20" max="21" width="3" style="4278" customWidth="1"/>
    <col min="22" max="22" width="25" style="4278" customWidth="1"/>
    <col min="23" max="23" width="0.28515625" style="4278" customWidth="1"/>
    <col min="24" max="25" width="10" style="4278" customWidth="1"/>
    <col min="26" max="27" width="3" style="4278" customWidth="1"/>
    <col min="28" max="28" width="16" style="4278" customWidth="1"/>
    <col min="29" max="29" width="0.28515625" style="4278" customWidth="1"/>
    <col min="30" max="31" width="10" style="4278" customWidth="1"/>
    <col min="32" max="33" width="3" style="4278" customWidth="1"/>
    <col min="34" max="34" width="8" style="4278" customWidth="1"/>
    <col min="35" max="35" width="21" style="4278" customWidth="1"/>
    <col min="36" max="36" width="8" style="4278" customWidth="1"/>
    <col min="37" max="37" width="8" style="4291" customWidth="1"/>
    <col min="38" max="64" width="8" style="4278" customWidth="1"/>
    <col min="65" max="65" width="9.140625" style="4278" hidden="1"/>
  </cols>
  <sheetData>
    <row r="1" spans="1:65" s="4288"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4289" customFormat="1" ht="11.25" hidden="1" customHeight="1">
      <c r="L2" s="1474" t="s">
        <v>372</v>
      </c>
      <c r="M2" s="1474" t="s">
        <v>373</v>
      </c>
      <c r="R2" s="1474" t="s">
        <v>374</v>
      </c>
      <c r="S2" s="1474" t="s">
        <v>373</v>
      </c>
      <c r="X2" s="1474" t="s">
        <v>372</v>
      </c>
      <c r="Y2" s="1474" t="s">
        <v>373</v>
      </c>
      <c r="AD2" s="1474" t="s">
        <v>372</v>
      </c>
      <c r="AE2" s="1474" t="s">
        <v>373</v>
      </c>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74">
        <v>0</v>
      </c>
    </row>
    <row r="3" spans="1:65" s="4290" customFormat="1" ht="11.45" customHeight="1">
      <c r="AJ3" s="1495"/>
      <c r="AK3" s="244"/>
      <c r="AL3" s="1495"/>
      <c r="AM3" s="1495"/>
      <c r="AN3" s="1495"/>
      <c r="AO3" s="1495"/>
      <c r="AP3" s="1495"/>
      <c r="AQ3" s="1495"/>
      <c r="AR3" s="1495"/>
      <c r="AS3" s="1495"/>
      <c r="AT3" s="1495"/>
      <c r="AU3" s="1495"/>
      <c r="AV3" s="1495"/>
      <c r="AW3" s="1495"/>
      <c r="AX3" s="1495"/>
      <c r="AY3" s="1495"/>
      <c r="AZ3" s="1495"/>
      <c r="BA3" s="1495"/>
      <c r="BB3" s="1495"/>
      <c r="BC3" s="1495"/>
      <c r="BD3" s="1495"/>
      <c r="BE3" s="1495"/>
      <c r="BF3" s="1495"/>
      <c r="BG3" s="1495"/>
      <c r="BH3" s="1495"/>
      <c r="BI3" s="1495"/>
      <c r="BJ3" s="1495"/>
      <c r="BK3" s="1495"/>
      <c r="BL3" s="1495"/>
      <c r="BM3" s="1475">
        <v>11</v>
      </c>
    </row>
    <row r="4" spans="1:65" s="4277" customFormat="1" ht="34.5" customHeight="1">
      <c r="A4" s="1077"/>
      <c r="B4" s="1076"/>
      <c r="C4" s="1436"/>
      <c r="D4" s="5402" t="s">
        <v>375</v>
      </c>
      <c r="E4" s="5402"/>
      <c r="F4" s="5402"/>
      <c r="G4" s="5402"/>
      <c r="H4" s="5402"/>
      <c r="I4" s="5402"/>
      <c r="J4" s="5402"/>
      <c r="K4" s="637"/>
      <c r="T4" s="1476"/>
      <c r="AJ4" s="1497"/>
      <c r="AK4" s="1498"/>
      <c r="AL4" s="1497"/>
      <c r="AM4" s="1497"/>
      <c r="AN4" s="1497"/>
      <c r="AO4" s="1497"/>
      <c r="AP4" s="1497"/>
      <c r="AQ4" s="1497"/>
      <c r="AR4" s="1497"/>
      <c r="AS4" s="1497"/>
      <c r="AT4" s="1497"/>
      <c r="AU4" s="1497"/>
      <c r="AV4" s="1497"/>
      <c r="AW4" s="1497"/>
      <c r="AX4" s="1497"/>
      <c r="AY4" s="1497"/>
      <c r="AZ4" s="1497"/>
      <c r="BA4" s="1497"/>
      <c r="BB4" s="1497"/>
      <c r="BC4" s="1497"/>
      <c r="BD4" s="1497"/>
      <c r="BE4" s="1497"/>
      <c r="BF4" s="1497"/>
      <c r="BG4" s="1497"/>
      <c r="BH4" s="1497"/>
      <c r="BI4" s="1497"/>
      <c r="BJ4" s="1497"/>
      <c r="BK4" s="1497"/>
      <c r="BL4" s="1497"/>
      <c r="BM4" s="445">
        <v>33</v>
      </c>
    </row>
    <row r="5" spans="1:65" s="4277" customFormat="1" ht="14.65" customHeight="1">
      <c r="A5" s="1553"/>
      <c r="B5" s="1552"/>
      <c r="C5" s="1436"/>
      <c r="D5" s="5423" t="str">
        <f>IF(org=0,"Не определено",org)</f>
        <v>КГУП "Примтеплоэнерго"</v>
      </c>
      <c r="E5" s="5423"/>
      <c r="F5" s="5423"/>
      <c r="G5" s="5423"/>
      <c r="H5" s="5423"/>
      <c r="I5" s="5423"/>
      <c r="J5" s="5423"/>
      <c r="K5" s="637"/>
      <c r="T5" s="1476"/>
      <c r="AJ5" s="1497"/>
      <c r="AK5" s="1498"/>
      <c r="AL5" s="1497"/>
      <c r="AM5" s="1497"/>
      <c r="AN5" s="1497"/>
      <c r="AO5" s="1497"/>
      <c r="AP5" s="1497"/>
      <c r="AQ5" s="1497"/>
      <c r="AR5" s="1497"/>
      <c r="AS5" s="1497"/>
      <c r="AT5" s="1497"/>
      <c r="AU5" s="1497"/>
      <c r="AV5" s="1497"/>
      <c r="AW5" s="1497"/>
      <c r="AX5" s="1497"/>
      <c r="AY5" s="1497"/>
      <c r="AZ5" s="1497"/>
      <c r="BA5" s="1497"/>
      <c r="BB5" s="1497"/>
      <c r="BC5" s="1497"/>
      <c r="BD5" s="1497"/>
      <c r="BE5" s="1497"/>
      <c r="BF5" s="1497"/>
      <c r="BG5" s="1497"/>
      <c r="BH5" s="1497"/>
      <c r="BI5" s="1497"/>
      <c r="BJ5" s="1497"/>
      <c r="BK5" s="1497"/>
      <c r="BL5" s="1497"/>
      <c r="BM5" s="1530">
        <v>14</v>
      </c>
    </row>
    <row r="6" spans="1:65" s="4277" customFormat="1" ht="14.65" customHeight="1">
      <c r="A6" s="1077"/>
      <c r="B6" s="1076"/>
      <c r="C6" s="1436"/>
      <c r="D6" s="637"/>
      <c r="E6" s="637"/>
      <c r="F6" s="637"/>
      <c r="G6" s="637"/>
      <c r="H6" s="637"/>
      <c r="I6" s="637"/>
      <c r="J6" s="637"/>
      <c r="K6" s="637"/>
      <c r="T6" s="1476"/>
      <c r="AJ6" s="1497"/>
      <c r="AK6" s="1498"/>
      <c r="AL6" s="1497"/>
      <c r="AM6" s="1497"/>
      <c r="AN6" s="1497"/>
      <c r="AO6" s="1497"/>
      <c r="AP6" s="1497"/>
      <c r="AQ6" s="1497"/>
      <c r="AR6" s="1497"/>
      <c r="AS6" s="1497"/>
      <c r="AT6" s="1497"/>
      <c r="AU6" s="1497"/>
      <c r="AV6" s="1497"/>
      <c r="AW6" s="1497"/>
      <c r="AX6" s="1497"/>
      <c r="AY6" s="1497"/>
      <c r="AZ6" s="1497"/>
      <c r="BA6" s="1497"/>
      <c r="BB6" s="1497"/>
      <c r="BC6" s="1497"/>
      <c r="BD6" s="1497"/>
      <c r="BE6" s="1497"/>
      <c r="BF6" s="1497"/>
      <c r="BG6" s="1497"/>
      <c r="BH6" s="1497"/>
      <c r="BI6" s="1497"/>
      <c r="BJ6" s="1497"/>
      <c r="BK6" s="1497"/>
      <c r="BL6" s="1497"/>
      <c r="BM6" s="445">
        <v>14</v>
      </c>
    </row>
    <row r="7" spans="1:65" s="4288"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5328" t="s">
        <v>88</v>
      </c>
      <c r="E8" s="5328" t="s">
        <v>141</v>
      </c>
      <c r="F8" s="5404" t="s">
        <v>154</v>
      </c>
      <c r="G8" s="5405"/>
      <c r="H8" s="5404" t="s">
        <v>88</v>
      </c>
      <c r="I8" s="5405"/>
      <c r="J8" s="5328" t="s">
        <v>155</v>
      </c>
      <c r="K8" s="1477"/>
      <c r="L8" s="5403" t="s">
        <v>376</v>
      </c>
      <c r="M8" s="5403"/>
      <c r="N8" s="5403"/>
      <c r="O8" s="5403"/>
      <c r="P8" s="5403"/>
      <c r="Q8" s="1478"/>
      <c r="R8" s="5309" t="s">
        <v>377</v>
      </c>
      <c r="S8" s="5314"/>
      <c r="T8" s="5314"/>
      <c r="U8" s="5314"/>
      <c r="V8" s="5314"/>
      <c r="W8" s="1478"/>
      <c r="X8" s="5328" t="s">
        <v>378</v>
      </c>
      <c r="Y8" s="5328"/>
      <c r="Z8" s="5328"/>
      <c r="AA8" s="5328"/>
      <c r="AB8" s="5328"/>
      <c r="AC8" s="1479"/>
      <c r="AD8" s="5328" t="s">
        <v>379</v>
      </c>
      <c r="AE8" s="5328"/>
      <c r="AF8" s="5328"/>
      <c r="AG8" s="5328"/>
      <c r="AH8" s="5309"/>
      <c r="AI8" s="5328" t="s">
        <v>380</v>
      </c>
      <c r="AJ8" s="1495"/>
      <c r="BM8" s="231">
        <v>32</v>
      </c>
    </row>
    <row r="9" spans="1:65" ht="23.25" customHeight="1">
      <c r="D9" s="5328"/>
      <c r="E9" s="5328"/>
      <c r="F9" s="5403" t="s">
        <v>89</v>
      </c>
      <c r="G9" s="5403" t="s">
        <v>160</v>
      </c>
      <c r="H9" s="5406"/>
      <c r="I9" s="5407"/>
      <c r="J9" s="5309"/>
      <c r="K9" s="1480"/>
      <c r="L9" s="5328" t="s">
        <v>381</v>
      </c>
      <c r="M9" s="5309"/>
      <c r="N9" s="5404" t="s">
        <v>88</v>
      </c>
      <c r="O9" s="5405"/>
      <c r="P9" s="5328" t="s">
        <v>161</v>
      </c>
      <c r="Q9" s="1477"/>
      <c r="R9" s="5328" t="s">
        <v>381</v>
      </c>
      <c r="S9" s="5309"/>
      <c r="T9" s="5404" t="s">
        <v>88</v>
      </c>
      <c r="U9" s="5405"/>
      <c r="V9" s="5328" t="s">
        <v>161</v>
      </c>
      <c r="W9" s="1477"/>
      <c r="X9" s="5328" t="s">
        <v>381</v>
      </c>
      <c r="Y9" s="5309"/>
      <c r="Z9" s="5404" t="s">
        <v>88</v>
      </c>
      <c r="AA9" s="5405"/>
      <c r="AB9" s="5328" t="s">
        <v>382</v>
      </c>
      <c r="AC9" s="1477"/>
      <c r="AD9" s="5328" t="s">
        <v>381</v>
      </c>
      <c r="AE9" s="5309"/>
      <c r="AF9" s="5404" t="s">
        <v>88</v>
      </c>
      <c r="AG9" s="5405"/>
      <c r="AH9" s="5309" t="s">
        <v>382</v>
      </c>
      <c r="AI9" s="5328"/>
      <c r="AJ9" s="1495"/>
      <c r="BM9" s="231">
        <v>22</v>
      </c>
    </row>
    <row r="10" spans="1:65" ht="24" customHeight="1">
      <c r="D10" s="5403"/>
      <c r="E10" s="5403"/>
      <c r="F10" s="5408"/>
      <c r="G10" s="5408"/>
      <c r="H10" s="5409"/>
      <c r="I10" s="5410"/>
      <c r="J10" s="5404"/>
      <c r="K10" s="1480"/>
      <c r="L10" s="1499" t="s">
        <v>383</v>
      </c>
      <c r="M10" s="1494" t="s">
        <v>384</v>
      </c>
      <c r="N10" s="5406"/>
      <c r="O10" s="5407"/>
      <c r="P10" s="5403"/>
      <c r="Q10" s="1477"/>
      <c r="R10" s="1499" t="s">
        <v>383</v>
      </c>
      <c r="S10" s="1494" t="s">
        <v>384</v>
      </c>
      <c r="T10" s="5406"/>
      <c r="U10" s="5407"/>
      <c r="V10" s="5403"/>
      <c r="W10" s="1477"/>
      <c r="X10" s="1499" t="s">
        <v>383</v>
      </c>
      <c r="Y10" s="1494" t="s">
        <v>384</v>
      </c>
      <c r="Z10" s="5406"/>
      <c r="AA10" s="5407"/>
      <c r="AB10" s="5403"/>
      <c r="AC10" s="1477"/>
      <c r="AD10" s="1499" t="s">
        <v>383</v>
      </c>
      <c r="AE10" s="1494" t="s">
        <v>384</v>
      </c>
      <c r="AF10" s="5406"/>
      <c r="AG10" s="5407"/>
      <c r="AH10" s="5404"/>
      <c r="AI10" s="5403"/>
      <c r="AJ10" s="1495"/>
      <c r="AK10" s="192" t="s">
        <v>385</v>
      </c>
      <c r="AL10" s="192" t="s">
        <v>162</v>
      </c>
      <c r="BM10" s="231">
        <v>23</v>
      </c>
    </row>
    <row r="11" spans="1:65" ht="15" customHeight="1">
      <c r="D11" s="5411" t="s">
        <v>136</v>
      </c>
      <c r="E11" s="5413" t="s">
        <v>386</v>
      </c>
      <c r="F11" s="5413" t="s">
        <v>387</v>
      </c>
      <c r="G11" s="5399" t="s">
        <v>19</v>
      </c>
      <c r="H11" s="1520"/>
      <c r="I11" s="5416"/>
      <c r="J11" s="5356"/>
      <c r="K11" s="1435"/>
      <c r="L11" s="5348"/>
      <c r="M11" s="5348"/>
      <c r="N11" s="1505"/>
      <c r="O11" s="5348"/>
      <c r="P11" s="5356"/>
      <c r="Q11" s="1506"/>
      <c r="R11" s="5348"/>
      <c r="S11" s="5348"/>
      <c r="T11" s="1507"/>
      <c r="U11" s="5348"/>
      <c r="V11" s="5356"/>
      <c r="W11" s="1508"/>
      <c r="X11" s="5348"/>
      <c r="Y11" s="5348"/>
      <c r="Z11" s="1505"/>
      <c r="AA11" s="5348"/>
      <c r="AB11" s="5356"/>
      <c r="AC11" s="1509"/>
      <c r="AD11" s="5348"/>
      <c r="AE11" s="5348"/>
      <c r="AF11" s="1434"/>
      <c r="AG11" s="1434"/>
      <c r="AH11" s="1510"/>
      <c r="AI11" s="1217"/>
      <c r="AJ11" s="1495"/>
      <c r="BM11" s="231">
        <v>14</v>
      </c>
    </row>
    <row r="12" spans="1:65" ht="14.65" customHeight="1">
      <c r="D12" s="5411"/>
      <c r="E12" s="5413"/>
      <c r="F12" s="5413"/>
      <c r="G12" s="5400"/>
      <c r="H12" s="1521"/>
      <c r="I12" s="5417"/>
      <c r="J12" s="5357"/>
      <c r="K12" s="1531"/>
      <c r="L12" s="5349"/>
      <c r="M12" s="5349"/>
      <c r="N12" s="1511"/>
      <c r="O12" s="5349"/>
      <c r="P12" s="5357"/>
      <c r="Q12" s="1512"/>
      <c r="R12" s="5349"/>
      <c r="S12" s="5349"/>
      <c r="T12" s="1513"/>
      <c r="U12" s="5349"/>
      <c r="V12" s="5357"/>
      <c r="W12" s="1514"/>
      <c r="X12" s="5349"/>
      <c r="Y12" s="5349"/>
      <c r="Z12" s="1511"/>
      <c r="AA12" s="5349"/>
      <c r="AB12" s="5357"/>
      <c r="AC12" s="1515"/>
      <c r="AD12" s="5349"/>
      <c r="AE12" s="5349"/>
      <c r="AF12" s="1516"/>
      <c r="AG12" s="1516"/>
      <c r="AH12" s="5420"/>
      <c r="AI12" s="5421"/>
      <c r="AJ12" s="1495"/>
      <c r="BM12" s="231">
        <v>14</v>
      </c>
    </row>
    <row r="13" spans="1:65" ht="14.65" customHeight="1">
      <c r="D13" s="5411"/>
      <c r="E13" s="5413"/>
      <c r="F13" s="5413"/>
      <c r="G13" s="5400"/>
      <c r="H13" s="1521"/>
      <c r="I13" s="5417"/>
      <c r="J13" s="5357"/>
      <c r="K13" s="1531"/>
      <c r="L13" s="5349"/>
      <c r="M13" s="5349"/>
      <c r="N13" s="1511"/>
      <c r="O13" s="5349"/>
      <c r="P13" s="5357"/>
      <c r="Q13" s="1512"/>
      <c r="R13" s="5349"/>
      <c r="S13" s="5349"/>
      <c r="T13" s="1513"/>
      <c r="U13" s="5349"/>
      <c r="V13" s="5357"/>
      <c r="W13" s="1514"/>
      <c r="X13" s="5349"/>
      <c r="Y13" s="5349"/>
      <c r="Z13" s="1433"/>
      <c r="AA13" s="1516"/>
      <c r="AB13" s="5420"/>
      <c r="AC13" s="5420"/>
      <c r="AD13" s="5420"/>
      <c r="AE13" s="5420"/>
      <c r="AF13" s="5420"/>
      <c r="AG13" s="5420"/>
      <c r="AH13" s="5420"/>
      <c r="AI13" s="5421"/>
      <c r="AJ13" s="1495"/>
      <c r="BM13" s="231">
        <v>14</v>
      </c>
    </row>
    <row r="14" spans="1:65" ht="14.65" customHeight="1">
      <c r="D14" s="5411"/>
      <c r="E14" s="5413"/>
      <c r="F14" s="5413"/>
      <c r="G14" s="5400"/>
      <c r="H14" s="1521"/>
      <c r="I14" s="5417"/>
      <c r="J14" s="5357"/>
      <c r="K14" s="1531"/>
      <c r="L14" s="5349"/>
      <c r="M14" s="5349"/>
      <c r="N14" s="1511"/>
      <c r="O14" s="5349"/>
      <c r="P14" s="5357"/>
      <c r="Q14" s="1512"/>
      <c r="R14" s="5349"/>
      <c r="S14" s="5349"/>
      <c r="T14" s="1517"/>
      <c r="U14" s="1518"/>
      <c r="V14" s="5420"/>
      <c r="W14" s="5420"/>
      <c r="X14" s="5420"/>
      <c r="Y14" s="5420"/>
      <c r="Z14" s="5420"/>
      <c r="AA14" s="5420"/>
      <c r="AB14" s="5420"/>
      <c r="AC14" s="5420"/>
      <c r="AD14" s="5420"/>
      <c r="AE14" s="5420"/>
      <c r="AF14" s="5420"/>
      <c r="AG14" s="5420"/>
      <c r="AH14" s="5420"/>
      <c r="AI14" s="5421"/>
      <c r="AJ14" s="1495"/>
      <c r="BM14" s="231">
        <v>14</v>
      </c>
    </row>
    <row r="15" spans="1:65" ht="11.45" customHeight="1">
      <c r="D15" s="5411"/>
      <c r="E15" s="5413"/>
      <c r="F15" s="5413"/>
      <c r="G15" s="5400"/>
      <c r="H15" s="1522"/>
      <c r="I15" s="5417"/>
      <c r="J15" s="5357"/>
      <c r="K15" s="1531"/>
      <c r="L15" s="5349"/>
      <c r="M15" s="5349"/>
      <c r="N15" s="1516"/>
      <c r="O15" s="1516"/>
      <c r="P15" s="5420"/>
      <c r="Q15" s="5420"/>
      <c r="R15" s="5420"/>
      <c r="S15" s="5420"/>
      <c r="T15" s="5420"/>
      <c r="U15" s="5420"/>
      <c r="V15" s="5420"/>
      <c r="W15" s="5420"/>
      <c r="X15" s="5420"/>
      <c r="Y15" s="5420"/>
      <c r="Z15" s="5420"/>
      <c r="AA15" s="5420"/>
      <c r="AB15" s="5420"/>
      <c r="AC15" s="5420"/>
      <c r="AD15" s="5420"/>
      <c r="AE15" s="5420"/>
      <c r="AF15" s="5420"/>
      <c r="AG15" s="5420"/>
      <c r="AH15" s="5420"/>
      <c r="AI15" s="5421"/>
      <c r="AJ15" s="1495"/>
      <c r="BM15" s="231">
        <v>11</v>
      </c>
    </row>
    <row r="16" spans="1:65" s="4290" customFormat="1" ht="11.45" customHeight="1">
      <c r="D16" s="5412"/>
      <c r="E16" s="5414"/>
      <c r="F16" s="5415"/>
      <c r="G16" s="5343"/>
      <c r="H16" s="1519"/>
      <c r="I16" s="1523"/>
      <c r="J16" s="5418"/>
      <c r="K16" s="5418"/>
      <c r="L16" s="5418"/>
      <c r="M16" s="5418"/>
      <c r="N16" s="5418"/>
      <c r="O16" s="5418"/>
      <c r="P16" s="5418"/>
      <c r="Q16" s="5418"/>
      <c r="R16" s="5418"/>
      <c r="S16" s="5418"/>
      <c r="T16" s="5418"/>
      <c r="U16" s="5418"/>
      <c r="V16" s="5418"/>
      <c r="W16" s="5418"/>
      <c r="X16" s="5418"/>
      <c r="Y16" s="5418"/>
      <c r="Z16" s="5418"/>
      <c r="AA16" s="5418"/>
      <c r="AB16" s="5418"/>
      <c r="AC16" s="5418"/>
      <c r="AD16" s="5418"/>
      <c r="AE16" s="5418"/>
      <c r="AF16" s="5418"/>
      <c r="AG16" s="5418"/>
      <c r="AH16" s="5418"/>
      <c r="AI16" s="5419"/>
      <c r="AJ16" s="1495"/>
      <c r="AK16" s="244"/>
      <c r="AL16" s="1495"/>
      <c r="AM16" s="1495"/>
      <c r="AN16" s="1495"/>
      <c r="AO16" s="1495"/>
      <c r="AP16" s="1495"/>
      <c r="AQ16" s="1495"/>
      <c r="AR16" s="1495"/>
      <c r="AS16" s="1495"/>
      <c r="AT16" s="1495"/>
      <c r="AU16" s="1495"/>
      <c r="AV16" s="1495"/>
      <c r="AW16" s="1495"/>
      <c r="AX16" s="1495"/>
      <c r="AY16" s="1495"/>
      <c r="AZ16" s="1495"/>
      <c r="BA16" s="1495"/>
      <c r="BB16" s="1495"/>
      <c r="BC16" s="1495"/>
      <c r="BD16" s="1495"/>
      <c r="BE16" s="1495"/>
      <c r="BF16" s="1495"/>
      <c r="BG16" s="1495"/>
      <c r="BH16" s="1495"/>
      <c r="BI16" s="1495"/>
      <c r="BJ16" s="1495"/>
      <c r="BK16" s="1495"/>
      <c r="BL16" s="1495"/>
      <c r="BM16" s="1475">
        <v>11</v>
      </c>
    </row>
    <row r="17" spans="4:65" ht="15" customHeight="1">
      <c r="D17" s="5411" t="s">
        <v>103</v>
      </c>
      <c r="E17" s="5413" t="s">
        <v>386</v>
      </c>
      <c r="F17" s="5413" t="s">
        <v>388</v>
      </c>
      <c r="G17" s="5399" t="s">
        <v>19</v>
      </c>
      <c r="H17" s="1520"/>
      <c r="I17" s="5416"/>
      <c r="J17" s="5356"/>
      <c r="K17" s="1435"/>
      <c r="L17" s="5348"/>
      <c r="M17" s="5348"/>
      <c r="N17" s="1505"/>
      <c r="O17" s="5348"/>
      <c r="P17" s="5356"/>
      <c r="Q17" s="1506"/>
      <c r="R17" s="5348"/>
      <c r="S17" s="5348"/>
      <c r="T17" s="1507"/>
      <c r="U17" s="5348"/>
      <c r="V17" s="5356"/>
      <c r="W17" s="1508"/>
      <c r="X17" s="5348"/>
      <c r="Y17" s="5348"/>
      <c r="Z17" s="1505"/>
      <c r="AA17" s="5348"/>
      <c r="AB17" s="5356"/>
      <c r="AC17" s="1509"/>
      <c r="AD17" s="5348"/>
      <c r="AE17" s="5348"/>
      <c r="AF17" s="1434"/>
      <c r="AG17" s="1434"/>
      <c r="AH17" s="1510"/>
      <c r="AI17" s="1217"/>
      <c r="AJ17" s="1495"/>
      <c r="BM17" s="231">
        <v>14</v>
      </c>
    </row>
    <row r="18" spans="4:65" ht="14.65" customHeight="1">
      <c r="D18" s="5411"/>
      <c r="E18" s="5413"/>
      <c r="F18" s="5413"/>
      <c r="G18" s="5400"/>
      <c r="H18" s="1521"/>
      <c r="I18" s="5417"/>
      <c r="J18" s="5357"/>
      <c r="K18" s="1504"/>
      <c r="L18" s="5349"/>
      <c r="M18" s="5349"/>
      <c r="N18" s="1511"/>
      <c r="O18" s="5349"/>
      <c r="P18" s="5357"/>
      <c r="Q18" s="1512"/>
      <c r="R18" s="5349"/>
      <c r="S18" s="5349"/>
      <c r="T18" s="1513"/>
      <c r="U18" s="5349"/>
      <c r="V18" s="5357"/>
      <c r="W18" s="1514"/>
      <c r="X18" s="5349"/>
      <c r="Y18" s="5349"/>
      <c r="Z18" s="1511"/>
      <c r="AA18" s="5349"/>
      <c r="AB18" s="5357"/>
      <c r="AC18" s="1515"/>
      <c r="AD18" s="5349"/>
      <c r="AE18" s="5349"/>
      <c r="AF18" s="1516"/>
      <c r="AG18" s="1516"/>
      <c r="AH18" s="5420"/>
      <c r="AI18" s="5421"/>
      <c r="AJ18" s="1495"/>
      <c r="BM18" s="231">
        <v>14</v>
      </c>
    </row>
    <row r="19" spans="4:65" ht="14.65" customHeight="1">
      <c r="D19" s="5411"/>
      <c r="E19" s="5413"/>
      <c r="F19" s="5413"/>
      <c r="G19" s="5400"/>
      <c r="H19" s="1521"/>
      <c r="I19" s="5417"/>
      <c r="J19" s="5357"/>
      <c r="K19" s="1504"/>
      <c r="L19" s="5349"/>
      <c r="M19" s="5349"/>
      <c r="N19" s="1511"/>
      <c r="O19" s="5349"/>
      <c r="P19" s="5357"/>
      <c r="Q19" s="1512"/>
      <c r="R19" s="5349"/>
      <c r="S19" s="5349"/>
      <c r="T19" s="1513"/>
      <c r="U19" s="5349"/>
      <c r="V19" s="5357"/>
      <c r="W19" s="1514"/>
      <c r="X19" s="5349"/>
      <c r="Y19" s="5349"/>
      <c r="Z19" s="1433"/>
      <c r="AA19" s="1516"/>
      <c r="AB19" s="5420"/>
      <c r="AC19" s="5420"/>
      <c r="AD19" s="5420"/>
      <c r="AE19" s="5420"/>
      <c r="AF19" s="5420"/>
      <c r="AG19" s="5420"/>
      <c r="AH19" s="5420"/>
      <c r="AI19" s="5421"/>
      <c r="AJ19" s="1495"/>
      <c r="BM19" s="231">
        <v>14</v>
      </c>
    </row>
    <row r="20" spans="4:65" ht="14.65" customHeight="1">
      <c r="D20" s="5411"/>
      <c r="E20" s="5413"/>
      <c r="F20" s="5413"/>
      <c r="G20" s="5400"/>
      <c r="H20" s="1521"/>
      <c r="I20" s="5417"/>
      <c r="J20" s="5357"/>
      <c r="K20" s="1504"/>
      <c r="L20" s="5349"/>
      <c r="M20" s="5349"/>
      <c r="N20" s="1511"/>
      <c r="O20" s="5349"/>
      <c r="P20" s="5357"/>
      <c r="Q20" s="1512"/>
      <c r="R20" s="5349"/>
      <c r="S20" s="5349"/>
      <c r="T20" s="1517"/>
      <c r="U20" s="1518"/>
      <c r="V20" s="5420"/>
      <c r="W20" s="5420"/>
      <c r="X20" s="5420"/>
      <c r="Y20" s="5420"/>
      <c r="Z20" s="5420"/>
      <c r="AA20" s="5420"/>
      <c r="AB20" s="5420"/>
      <c r="AC20" s="5420"/>
      <c r="AD20" s="5420"/>
      <c r="AE20" s="5420"/>
      <c r="AF20" s="5420"/>
      <c r="AG20" s="5420"/>
      <c r="AH20" s="5420"/>
      <c r="AI20" s="5421"/>
      <c r="AJ20" s="1495"/>
      <c r="BM20" s="231">
        <v>14</v>
      </c>
    </row>
    <row r="21" spans="4:65" ht="11.45" customHeight="1">
      <c r="D21" s="5411"/>
      <c r="E21" s="5413"/>
      <c r="F21" s="5413"/>
      <c r="G21" s="5400"/>
      <c r="H21" s="1522"/>
      <c r="I21" s="5417"/>
      <c r="J21" s="5357"/>
      <c r="K21" s="1504"/>
      <c r="L21" s="5349"/>
      <c r="M21" s="5349"/>
      <c r="N21" s="1516"/>
      <c r="O21" s="1516"/>
      <c r="P21" s="5420"/>
      <c r="Q21" s="5420"/>
      <c r="R21" s="5420"/>
      <c r="S21" s="5420"/>
      <c r="T21" s="5420"/>
      <c r="U21" s="5420"/>
      <c r="V21" s="5420"/>
      <c r="W21" s="5420"/>
      <c r="X21" s="5420"/>
      <c r="Y21" s="5420"/>
      <c r="Z21" s="5420"/>
      <c r="AA21" s="5420"/>
      <c r="AB21" s="5420"/>
      <c r="AC21" s="5420"/>
      <c r="AD21" s="5420"/>
      <c r="AE21" s="5420"/>
      <c r="AF21" s="5420"/>
      <c r="AG21" s="5420"/>
      <c r="AH21" s="5420"/>
      <c r="AI21" s="5421"/>
      <c r="AJ21" s="1495"/>
      <c r="BM21" s="231">
        <v>11</v>
      </c>
    </row>
    <row r="22" spans="4:65" s="4290" customFormat="1" ht="11.45" customHeight="1">
      <c r="D22" s="5412"/>
      <c r="E22" s="5414"/>
      <c r="F22" s="5415"/>
      <c r="G22" s="5343"/>
      <c r="H22" s="1519"/>
      <c r="I22" s="1523"/>
      <c r="J22" s="5418"/>
      <c r="K22" s="5418"/>
      <c r="L22" s="5418"/>
      <c r="M22" s="5418"/>
      <c r="N22" s="5418"/>
      <c r="O22" s="5418"/>
      <c r="P22" s="5418"/>
      <c r="Q22" s="5418"/>
      <c r="R22" s="5418"/>
      <c r="S22" s="5418"/>
      <c r="T22" s="5418"/>
      <c r="U22" s="5418"/>
      <c r="V22" s="5418"/>
      <c r="W22" s="5418"/>
      <c r="X22" s="5418"/>
      <c r="Y22" s="5418"/>
      <c r="Z22" s="5418"/>
      <c r="AA22" s="5418"/>
      <c r="AB22" s="5418"/>
      <c r="AC22" s="5418"/>
      <c r="AD22" s="5418"/>
      <c r="AE22" s="5418"/>
      <c r="AF22" s="5418"/>
      <c r="AG22" s="5418"/>
      <c r="AH22" s="5418"/>
      <c r="AI22" s="5419"/>
      <c r="AJ22" s="1495"/>
      <c r="AK22" s="244"/>
      <c r="AL22" s="1495"/>
      <c r="AM22" s="1495"/>
      <c r="AN22" s="1495"/>
      <c r="AO22" s="1495"/>
      <c r="AP22" s="1495"/>
      <c r="AQ22" s="1495"/>
      <c r="AR22" s="1495"/>
      <c r="AS22" s="1495"/>
      <c r="AT22" s="1495"/>
      <c r="AU22" s="1495"/>
      <c r="AV22" s="1495"/>
      <c r="AW22" s="1495"/>
      <c r="AX22" s="1495"/>
      <c r="AY22" s="1495"/>
      <c r="AZ22" s="1495"/>
      <c r="BA22" s="1495"/>
      <c r="BB22" s="1495"/>
      <c r="BC22" s="1495"/>
      <c r="BD22" s="1495"/>
      <c r="BE22" s="1495"/>
      <c r="BF22" s="1495"/>
      <c r="BG22" s="1495"/>
      <c r="BH22" s="1495"/>
      <c r="BI22" s="1495"/>
      <c r="BJ22" s="1495"/>
      <c r="BK22" s="1495"/>
      <c r="BL22" s="1495"/>
      <c r="BM22" s="1475">
        <v>11</v>
      </c>
    </row>
    <row r="23" spans="4:65" ht="15" customHeight="1">
      <c r="D23" s="5411" t="s">
        <v>90</v>
      </c>
      <c r="E23" s="5413" t="s">
        <v>386</v>
      </c>
      <c r="F23" s="5413" t="s">
        <v>389</v>
      </c>
      <c r="G23" s="5399" t="s">
        <v>19</v>
      </c>
      <c r="H23" s="1520"/>
      <c r="I23" s="5416"/>
      <c r="J23" s="5356"/>
      <c r="K23" s="1435"/>
      <c r="L23" s="5348"/>
      <c r="M23" s="5348"/>
      <c r="N23" s="1505"/>
      <c r="O23" s="5348"/>
      <c r="P23" s="5356"/>
      <c r="Q23" s="1506"/>
      <c r="R23" s="5348"/>
      <c r="S23" s="5348"/>
      <c r="T23" s="1507"/>
      <c r="U23" s="5348"/>
      <c r="V23" s="5356"/>
      <c r="W23" s="1508"/>
      <c r="X23" s="5348"/>
      <c r="Y23" s="5348"/>
      <c r="Z23" s="1505"/>
      <c r="AA23" s="5348"/>
      <c r="AB23" s="5356"/>
      <c r="AC23" s="1509"/>
      <c r="AD23" s="5348"/>
      <c r="AE23" s="5348"/>
      <c r="AF23" s="1434"/>
      <c r="AG23" s="1434"/>
      <c r="AH23" s="1510"/>
      <c r="AI23" s="1217"/>
      <c r="AJ23" s="1495"/>
      <c r="AK23" s="244" t="s">
        <v>98</v>
      </c>
      <c r="BM23" s="231">
        <v>14</v>
      </c>
    </row>
    <row r="24" spans="4:65" ht="14.65" customHeight="1">
      <c r="D24" s="5411"/>
      <c r="E24" s="5413"/>
      <c r="F24" s="5413"/>
      <c r="G24" s="5400"/>
      <c r="H24" s="1521"/>
      <c r="I24" s="5417"/>
      <c r="J24" s="5357"/>
      <c r="K24" s="1531"/>
      <c r="L24" s="5349"/>
      <c r="M24" s="5349"/>
      <c r="N24" s="1511"/>
      <c r="O24" s="5349"/>
      <c r="P24" s="5357"/>
      <c r="Q24" s="1512"/>
      <c r="R24" s="5349"/>
      <c r="S24" s="5349"/>
      <c r="T24" s="1513"/>
      <c r="U24" s="5349"/>
      <c r="V24" s="5357"/>
      <c r="W24" s="1514"/>
      <c r="X24" s="5349"/>
      <c r="Y24" s="5349"/>
      <c r="Z24" s="1511"/>
      <c r="AA24" s="5349"/>
      <c r="AB24" s="5357"/>
      <c r="AC24" s="1515"/>
      <c r="AD24" s="5349"/>
      <c r="AE24" s="5349"/>
      <c r="AF24" s="1516"/>
      <c r="AG24" s="1516"/>
      <c r="AH24" s="5420"/>
      <c r="AI24" s="5421"/>
      <c r="AJ24" s="1495"/>
      <c r="BM24" s="231">
        <v>14</v>
      </c>
    </row>
    <row r="25" spans="4:65" ht="14.65" customHeight="1">
      <c r="D25" s="5411"/>
      <c r="E25" s="5413"/>
      <c r="F25" s="5413"/>
      <c r="G25" s="5400"/>
      <c r="H25" s="1521"/>
      <c r="I25" s="5417"/>
      <c r="J25" s="5357"/>
      <c r="K25" s="1531"/>
      <c r="L25" s="5349"/>
      <c r="M25" s="5349"/>
      <c r="N25" s="1511"/>
      <c r="O25" s="5349"/>
      <c r="P25" s="5357"/>
      <c r="Q25" s="1512"/>
      <c r="R25" s="5349"/>
      <c r="S25" s="5349"/>
      <c r="T25" s="1513"/>
      <c r="U25" s="5349"/>
      <c r="V25" s="5357"/>
      <c r="W25" s="1514"/>
      <c r="X25" s="5349"/>
      <c r="Y25" s="5349"/>
      <c r="Z25" s="1433"/>
      <c r="AA25" s="1516"/>
      <c r="AB25" s="5420"/>
      <c r="AC25" s="5420"/>
      <c r="AD25" s="5420"/>
      <c r="AE25" s="5420"/>
      <c r="AF25" s="5420"/>
      <c r="AG25" s="5420"/>
      <c r="AH25" s="5420"/>
      <c r="AI25" s="5421"/>
      <c r="AJ25" s="1495"/>
      <c r="BM25" s="231">
        <v>14</v>
      </c>
    </row>
    <row r="26" spans="4:65" ht="14.65" customHeight="1">
      <c r="D26" s="5411"/>
      <c r="E26" s="5413"/>
      <c r="F26" s="5413"/>
      <c r="G26" s="5400"/>
      <c r="H26" s="1521"/>
      <c r="I26" s="5417"/>
      <c r="J26" s="5357"/>
      <c r="K26" s="1531"/>
      <c r="L26" s="5349"/>
      <c r="M26" s="5349"/>
      <c r="N26" s="1511"/>
      <c r="O26" s="5349"/>
      <c r="P26" s="5357"/>
      <c r="Q26" s="1512"/>
      <c r="R26" s="5349"/>
      <c r="S26" s="5349"/>
      <c r="T26" s="1517"/>
      <c r="U26" s="1518"/>
      <c r="V26" s="5420"/>
      <c r="W26" s="5420"/>
      <c r="X26" s="5420"/>
      <c r="Y26" s="5420"/>
      <c r="Z26" s="5420"/>
      <c r="AA26" s="5420"/>
      <c r="AB26" s="5420"/>
      <c r="AC26" s="5420"/>
      <c r="AD26" s="5420"/>
      <c r="AE26" s="5420"/>
      <c r="AF26" s="5420"/>
      <c r="AG26" s="5420"/>
      <c r="AH26" s="5420"/>
      <c r="AI26" s="5421"/>
      <c r="AJ26" s="1495"/>
      <c r="BM26" s="231">
        <v>14</v>
      </c>
    </row>
    <row r="27" spans="4:65" ht="11.45" customHeight="1">
      <c r="D27" s="5411"/>
      <c r="E27" s="5413"/>
      <c r="F27" s="5413"/>
      <c r="G27" s="5400"/>
      <c r="H27" s="1522"/>
      <c r="I27" s="5417"/>
      <c r="J27" s="5357"/>
      <c r="K27" s="1531"/>
      <c r="L27" s="5349"/>
      <c r="M27" s="5349"/>
      <c r="N27" s="1516"/>
      <c r="O27" s="1516"/>
      <c r="P27" s="5420"/>
      <c r="Q27" s="5420"/>
      <c r="R27" s="5420"/>
      <c r="S27" s="5420"/>
      <c r="T27" s="5420"/>
      <c r="U27" s="5420"/>
      <c r="V27" s="5420"/>
      <c r="W27" s="5420"/>
      <c r="X27" s="5420"/>
      <c r="Y27" s="5420"/>
      <c r="Z27" s="5420"/>
      <c r="AA27" s="5420"/>
      <c r="AB27" s="5420"/>
      <c r="AC27" s="5420"/>
      <c r="AD27" s="5420"/>
      <c r="AE27" s="5420"/>
      <c r="AF27" s="5420"/>
      <c r="AG27" s="5420"/>
      <c r="AH27" s="5420"/>
      <c r="AI27" s="5421"/>
      <c r="AJ27" s="1495"/>
      <c r="BM27" s="231">
        <v>11</v>
      </c>
    </row>
    <row r="28" spans="4:65" s="4290" customFormat="1" ht="11.45" customHeight="1">
      <c r="D28" s="5412"/>
      <c r="E28" s="5414"/>
      <c r="F28" s="5415"/>
      <c r="G28" s="5343"/>
      <c r="H28" s="1519"/>
      <c r="I28" s="1523"/>
      <c r="J28" s="5418"/>
      <c r="K28" s="5418"/>
      <c r="L28" s="5418"/>
      <c r="M28" s="5418"/>
      <c r="N28" s="5418"/>
      <c r="O28" s="5418"/>
      <c r="P28" s="5418"/>
      <c r="Q28" s="5418"/>
      <c r="R28" s="5418"/>
      <c r="S28" s="5418"/>
      <c r="T28" s="5418"/>
      <c r="U28" s="5418"/>
      <c r="V28" s="5418"/>
      <c r="W28" s="5418"/>
      <c r="X28" s="5418"/>
      <c r="Y28" s="5418"/>
      <c r="Z28" s="5418"/>
      <c r="AA28" s="5418"/>
      <c r="AB28" s="5418"/>
      <c r="AC28" s="5418"/>
      <c r="AD28" s="5418"/>
      <c r="AE28" s="5418"/>
      <c r="AF28" s="5418"/>
      <c r="AG28" s="5418"/>
      <c r="AH28" s="5418"/>
      <c r="AI28" s="5419"/>
      <c r="AJ28" s="1495"/>
      <c r="AK28" s="244"/>
      <c r="AL28" s="1495"/>
      <c r="AM28" s="1495"/>
      <c r="AN28" s="1495"/>
      <c r="AO28" s="1495"/>
      <c r="AP28" s="1495"/>
      <c r="AQ28" s="1495"/>
      <c r="AR28" s="1495"/>
      <c r="AS28" s="1495"/>
      <c r="AT28" s="1495"/>
      <c r="AU28" s="1495"/>
      <c r="AV28" s="1495"/>
      <c r="AW28" s="1495"/>
      <c r="AX28" s="1495"/>
      <c r="AY28" s="1495"/>
      <c r="AZ28" s="1495"/>
      <c r="BA28" s="1495"/>
      <c r="BB28" s="1495"/>
      <c r="BC28" s="1495"/>
      <c r="BD28" s="1495"/>
      <c r="BE28" s="1495"/>
      <c r="BF28" s="1495"/>
      <c r="BG28" s="1495"/>
      <c r="BH28" s="1495"/>
      <c r="BI28" s="1495"/>
      <c r="BJ28" s="1495"/>
      <c r="BK28" s="1495"/>
      <c r="BL28" s="1495"/>
      <c r="BM28" s="1475">
        <v>11</v>
      </c>
    </row>
    <row r="29" spans="4:65" ht="15" customHeight="1">
      <c r="D29" s="5411" t="s">
        <v>91</v>
      </c>
      <c r="E29" s="5413" t="s">
        <v>386</v>
      </c>
      <c r="F29" s="5413" t="s">
        <v>390</v>
      </c>
      <c r="G29" s="5399" t="s">
        <v>19</v>
      </c>
      <c r="H29" s="1520"/>
      <c r="I29" s="5416"/>
      <c r="J29" s="5356"/>
      <c r="K29" s="1435"/>
      <c r="L29" s="5348"/>
      <c r="M29" s="5348"/>
      <c r="N29" s="1505"/>
      <c r="O29" s="5348"/>
      <c r="P29" s="5356"/>
      <c r="Q29" s="1506"/>
      <c r="R29" s="5348"/>
      <c r="S29" s="5348"/>
      <c r="T29" s="1507"/>
      <c r="U29" s="5348"/>
      <c r="V29" s="5356"/>
      <c r="W29" s="1508"/>
      <c r="X29" s="5348"/>
      <c r="Y29" s="5348"/>
      <c r="Z29" s="1505"/>
      <c r="AA29" s="5348"/>
      <c r="AB29" s="5356"/>
      <c r="AC29" s="1509"/>
      <c r="AD29" s="5348"/>
      <c r="AE29" s="5348"/>
      <c r="AF29" s="1434"/>
      <c r="AG29" s="1434"/>
      <c r="AH29" s="1510"/>
      <c r="AI29" s="1217"/>
      <c r="AJ29" s="1495"/>
      <c r="BM29" s="231">
        <v>14</v>
      </c>
    </row>
    <row r="30" spans="4:65" ht="14.65" customHeight="1">
      <c r="D30" s="5411"/>
      <c r="E30" s="5413"/>
      <c r="F30" s="5413"/>
      <c r="G30" s="5400"/>
      <c r="H30" s="1521"/>
      <c r="I30" s="5417"/>
      <c r="J30" s="5357"/>
      <c r="K30" s="1504"/>
      <c r="L30" s="5349"/>
      <c r="M30" s="5349"/>
      <c r="N30" s="1511"/>
      <c r="O30" s="5349"/>
      <c r="P30" s="5357"/>
      <c r="Q30" s="1512"/>
      <c r="R30" s="5349"/>
      <c r="S30" s="5349"/>
      <c r="T30" s="1513"/>
      <c r="U30" s="5349"/>
      <c r="V30" s="5357"/>
      <c r="W30" s="1514"/>
      <c r="X30" s="5349"/>
      <c r="Y30" s="5349"/>
      <c r="Z30" s="1511"/>
      <c r="AA30" s="5349"/>
      <c r="AB30" s="5357"/>
      <c r="AC30" s="1515"/>
      <c r="AD30" s="5349"/>
      <c r="AE30" s="5349"/>
      <c r="AF30" s="1516"/>
      <c r="AG30" s="1516"/>
      <c r="AH30" s="5420"/>
      <c r="AI30" s="5421"/>
      <c r="AJ30" s="1495"/>
      <c r="BM30" s="231">
        <v>14</v>
      </c>
    </row>
    <row r="31" spans="4:65" ht="14.65" customHeight="1">
      <c r="D31" s="5411"/>
      <c r="E31" s="5413"/>
      <c r="F31" s="5413"/>
      <c r="G31" s="5400"/>
      <c r="H31" s="1521"/>
      <c r="I31" s="5417"/>
      <c r="J31" s="5357"/>
      <c r="K31" s="1504"/>
      <c r="L31" s="5349"/>
      <c r="M31" s="5349"/>
      <c r="N31" s="1511"/>
      <c r="O31" s="5349"/>
      <c r="P31" s="5357"/>
      <c r="Q31" s="1512"/>
      <c r="R31" s="5349"/>
      <c r="S31" s="5349"/>
      <c r="T31" s="1513"/>
      <c r="U31" s="5349"/>
      <c r="V31" s="5357"/>
      <c r="W31" s="1514"/>
      <c r="X31" s="5349"/>
      <c r="Y31" s="5349"/>
      <c r="Z31" s="1433"/>
      <c r="AA31" s="1516"/>
      <c r="AB31" s="5420"/>
      <c r="AC31" s="5420"/>
      <c r="AD31" s="5420"/>
      <c r="AE31" s="5420"/>
      <c r="AF31" s="5420"/>
      <c r="AG31" s="5420"/>
      <c r="AH31" s="5420"/>
      <c r="AI31" s="5421"/>
      <c r="AJ31" s="1495"/>
      <c r="BM31" s="231">
        <v>14</v>
      </c>
    </row>
    <row r="32" spans="4:65" ht="14.65" customHeight="1">
      <c r="D32" s="5411"/>
      <c r="E32" s="5413"/>
      <c r="F32" s="5413"/>
      <c r="G32" s="5400"/>
      <c r="H32" s="1521"/>
      <c r="I32" s="5417"/>
      <c r="J32" s="5357"/>
      <c r="K32" s="1504"/>
      <c r="L32" s="5349"/>
      <c r="M32" s="5349"/>
      <c r="N32" s="1511"/>
      <c r="O32" s="5349"/>
      <c r="P32" s="5357"/>
      <c r="Q32" s="1512"/>
      <c r="R32" s="5349"/>
      <c r="S32" s="5349"/>
      <c r="T32" s="1517"/>
      <c r="U32" s="1518"/>
      <c r="V32" s="5420"/>
      <c r="W32" s="5420"/>
      <c r="X32" s="5420"/>
      <c r="Y32" s="5420"/>
      <c r="Z32" s="5420"/>
      <c r="AA32" s="5420"/>
      <c r="AB32" s="5420"/>
      <c r="AC32" s="5420"/>
      <c r="AD32" s="5420"/>
      <c r="AE32" s="5420"/>
      <c r="AF32" s="5420"/>
      <c r="AG32" s="5420"/>
      <c r="AH32" s="5420"/>
      <c r="AI32" s="5421"/>
      <c r="AJ32" s="1495"/>
      <c r="BM32" s="231">
        <v>14</v>
      </c>
    </row>
    <row r="33" spans="4:65" ht="11.45" customHeight="1">
      <c r="D33" s="5411"/>
      <c r="E33" s="5413"/>
      <c r="F33" s="5413"/>
      <c r="G33" s="5400"/>
      <c r="H33" s="1522"/>
      <c r="I33" s="5417"/>
      <c r="J33" s="5357"/>
      <c r="K33" s="1504"/>
      <c r="L33" s="5349"/>
      <c r="M33" s="5349"/>
      <c r="N33" s="1516"/>
      <c r="O33" s="1516"/>
      <c r="P33" s="5420"/>
      <c r="Q33" s="5420"/>
      <c r="R33" s="5420"/>
      <c r="S33" s="5420"/>
      <c r="T33" s="5420"/>
      <c r="U33" s="5420"/>
      <c r="V33" s="5420"/>
      <c r="W33" s="5420"/>
      <c r="X33" s="5420"/>
      <c r="Y33" s="5420"/>
      <c r="Z33" s="5420"/>
      <c r="AA33" s="5420"/>
      <c r="AB33" s="5420"/>
      <c r="AC33" s="5420"/>
      <c r="AD33" s="5420"/>
      <c r="AE33" s="5420"/>
      <c r="AF33" s="5420"/>
      <c r="AG33" s="5420"/>
      <c r="AH33" s="5420"/>
      <c r="AI33" s="5421"/>
      <c r="AJ33" s="1495"/>
      <c r="BM33" s="231">
        <v>11</v>
      </c>
    </row>
    <row r="34" spans="4:65" s="4290" customFormat="1" ht="11.45" customHeight="1">
      <c r="D34" s="5412"/>
      <c r="E34" s="5414"/>
      <c r="F34" s="5415"/>
      <c r="G34" s="5343"/>
      <c r="H34" s="1519"/>
      <c r="I34" s="1523"/>
      <c r="J34" s="5418"/>
      <c r="K34" s="5418"/>
      <c r="L34" s="5418"/>
      <c r="M34" s="5418"/>
      <c r="N34" s="5418"/>
      <c r="O34" s="5418"/>
      <c r="P34" s="5418"/>
      <c r="Q34" s="5418"/>
      <c r="R34" s="5418"/>
      <c r="S34" s="5418"/>
      <c r="T34" s="5418"/>
      <c r="U34" s="5418"/>
      <c r="V34" s="5418"/>
      <c r="W34" s="5418"/>
      <c r="X34" s="5418"/>
      <c r="Y34" s="5418"/>
      <c r="Z34" s="5418"/>
      <c r="AA34" s="5418"/>
      <c r="AB34" s="5418"/>
      <c r="AC34" s="5418"/>
      <c r="AD34" s="5418"/>
      <c r="AE34" s="5418"/>
      <c r="AF34" s="5418"/>
      <c r="AG34" s="5418"/>
      <c r="AH34" s="5418"/>
      <c r="AI34" s="5419"/>
      <c r="AJ34" s="1495"/>
      <c r="AK34" s="244"/>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5"/>
      <c r="BM34" s="1475">
        <v>11</v>
      </c>
    </row>
    <row r="35" spans="4:65" ht="15" customHeight="1">
      <c r="D35" s="5411" t="s">
        <v>116</v>
      </c>
      <c r="E35" s="5413" t="s">
        <v>386</v>
      </c>
      <c r="F35" s="5413" t="s">
        <v>391</v>
      </c>
      <c r="G35" s="5399" t="s">
        <v>19</v>
      </c>
      <c r="H35" s="1520"/>
      <c r="I35" s="5416"/>
      <c r="J35" s="5356"/>
      <c r="K35" s="1435"/>
      <c r="L35" s="5348"/>
      <c r="M35" s="5348"/>
      <c r="N35" s="1505"/>
      <c r="O35" s="5348"/>
      <c r="P35" s="5356"/>
      <c r="Q35" s="1506"/>
      <c r="R35" s="5348"/>
      <c r="S35" s="5348"/>
      <c r="T35" s="1507"/>
      <c r="U35" s="5348"/>
      <c r="V35" s="5356"/>
      <c r="W35" s="1508"/>
      <c r="X35" s="5348"/>
      <c r="Y35" s="5348"/>
      <c r="Z35" s="1505"/>
      <c r="AA35" s="5348"/>
      <c r="AB35" s="5356"/>
      <c r="AC35" s="1509"/>
      <c r="AD35" s="5348"/>
      <c r="AE35" s="5348"/>
      <c r="AF35" s="1434"/>
      <c r="AG35" s="1434"/>
      <c r="AH35" s="1510"/>
      <c r="AI35" s="1217"/>
      <c r="AJ35" s="1495"/>
      <c r="BM35" s="231">
        <v>14</v>
      </c>
    </row>
    <row r="36" spans="4:65" ht="14.65" customHeight="1">
      <c r="D36" s="5411"/>
      <c r="E36" s="5413"/>
      <c r="F36" s="5413"/>
      <c r="G36" s="5400"/>
      <c r="H36" s="1521"/>
      <c r="I36" s="5417"/>
      <c r="J36" s="5357"/>
      <c r="K36" s="1504"/>
      <c r="L36" s="5349"/>
      <c r="M36" s="5349"/>
      <c r="N36" s="1511"/>
      <c r="O36" s="5349"/>
      <c r="P36" s="5357"/>
      <c r="Q36" s="1512"/>
      <c r="R36" s="5349"/>
      <c r="S36" s="5349"/>
      <c r="T36" s="1513"/>
      <c r="U36" s="5349"/>
      <c r="V36" s="5357"/>
      <c r="W36" s="1514"/>
      <c r="X36" s="5349"/>
      <c r="Y36" s="5349"/>
      <c r="Z36" s="1511"/>
      <c r="AA36" s="5349"/>
      <c r="AB36" s="5357"/>
      <c r="AC36" s="1515"/>
      <c r="AD36" s="5349"/>
      <c r="AE36" s="5349"/>
      <c r="AF36" s="1516"/>
      <c r="AG36" s="1516"/>
      <c r="AH36" s="5420"/>
      <c r="AI36" s="5421"/>
      <c r="AJ36" s="1495"/>
      <c r="BM36" s="231">
        <v>14</v>
      </c>
    </row>
    <row r="37" spans="4:65" ht="14.65" customHeight="1">
      <c r="D37" s="5411"/>
      <c r="E37" s="5413"/>
      <c r="F37" s="5413"/>
      <c r="G37" s="5400"/>
      <c r="H37" s="1521"/>
      <c r="I37" s="5417"/>
      <c r="J37" s="5357"/>
      <c r="K37" s="1504"/>
      <c r="L37" s="5349"/>
      <c r="M37" s="5349"/>
      <c r="N37" s="1511"/>
      <c r="O37" s="5349"/>
      <c r="P37" s="5357"/>
      <c r="Q37" s="1512"/>
      <c r="R37" s="5349"/>
      <c r="S37" s="5349"/>
      <c r="T37" s="1513"/>
      <c r="U37" s="5349"/>
      <c r="V37" s="5357"/>
      <c r="W37" s="1514"/>
      <c r="X37" s="5349"/>
      <c r="Y37" s="5349"/>
      <c r="Z37" s="1433"/>
      <c r="AA37" s="1516"/>
      <c r="AB37" s="5420"/>
      <c r="AC37" s="5420"/>
      <c r="AD37" s="5420"/>
      <c r="AE37" s="5420"/>
      <c r="AF37" s="5420"/>
      <c r="AG37" s="5420"/>
      <c r="AH37" s="5420"/>
      <c r="AI37" s="5421"/>
      <c r="AJ37" s="1495"/>
      <c r="BM37" s="231">
        <v>14</v>
      </c>
    </row>
    <row r="38" spans="4:65" ht="14.65" customHeight="1">
      <c r="D38" s="5411"/>
      <c r="E38" s="5413"/>
      <c r="F38" s="5413"/>
      <c r="G38" s="5400"/>
      <c r="H38" s="1521"/>
      <c r="I38" s="5417"/>
      <c r="J38" s="5357"/>
      <c r="K38" s="1504"/>
      <c r="L38" s="5349"/>
      <c r="M38" s="5349"/>
      <c r="N38" s="1511"/>
      <c r="O38" s="5349"/>
      <c r="P38" s="5357"/>
      <c r="Q38" s="1512"/>
      <c r="R38" s="5349"/>
      <c r="S38" s="5349"/>
      <c r="T38" s="1517"/>
      <c r="U38" s="1518"/>
      <c r="V38" s="5420"/>
      <c r="W38" s="5420"/>
      <c r="X38" s="5420"/>
      <c r="Y38" s="5420"/>
      <c r="Z38" s="5420"/>
      <c r="AA38" s="5420"/>
      <c r="AB38" s="5420"/>
      <c r="AC38" s="5420"/>
      <c r="AD38" s="5420"/>
      <c r="AE38" s="5420"/>
      <c r="AF38" s="5420"/>
      <c r="AG38" s="5420"/>
      <c r="AH38" s="5420"/>
      <c r="AI38" s="5421"/>
      <c r="AJ38" s="1495"/>
      <c r="BM38" s="231">
        <v>14</v>
      </c>
    </row>
    <row r="39" spans="4:65" ht="11.45" customHeight="1">
      <c r="D39" s="5411"/>
      <c r="E39" s="5413"/>
      <c r="F39" s="5413"/>
      <c r="G39" s="5400"/>
      <c r="H39" s="1522"/>
      <c r="I39" s="5417"/>
      <c r="J39" s="5357"/>
      <c r="K39" s="1504"/>
      <c r="L39" s="5349"/>
      <c r="M39" s="5349"/>
      <c r="N39" s="1516"/>
      <c r="O39" s="1516"/>
      <c r="P39" s="5420"/>
      <c r="Q39" s="5420"/>
      <c r="R39" s="5420"/>
      <c r="S39" s="5420"/>
      <c r="T39" s="5420"/>
      <c r="U39" s="5420"/>
      <c r="V39" s="5420"/>
      <c r="W39" s="5420"/>
      <c r="X39" s="5420"/>
      <c r="Y39" s="5420"/>
      <c r="Z39" s="5420"/>
      <c r="AA39" s="5420"/>
      <c r="AB39" s="5420"/>
      <c r="AC39" s="5420"/>
      <c r="AD39" s="5420"/>
      <c r="AE39" s="5420"/>
      <c r="AF39" s="5420"/>
      <c r="AG39" s="5420"/>
      <c r="AH39" s="5420"/>
      <c r="AI39" s="5421"/>
      <c r="AJ39" s="1495"/>
      <c r="BM39" s="231">
        <v>11</v>
      </c>
    </row>
    <row r="40" spans="4:65" s="4290" customFormat="1" ht="11.45" customHeight="1">
      <c r="D40" s="5411"/>
      <c r="E40" s="5413"/>
      <c r="F40" s="5422"/>
      <c r="G40" s="5343"/>
      <c r="H40" s="1519"/>
      <c r="I40" s="1523"/>
      <c r="J40" s="5418"/>
      <c r="K40" s="5418"/>
      <c r="L40" s="5418"/>
      <c r="M40" s="5418"/>
      <c r="N40" s="5418"/>
      <c r="O40" s="5418"/>
      <c r="P40" s="5418"/>
      <c r="Q40" s="5418"/>
      <c r="R40" s="5418"/>
      <c r="S40" s="5418"/>
      <c r="T40" s="5418"/>
      <c r="U40" s="5418"/>
      <c r="V40" s="5418"/>
      <c r="W40" s="5418"/>
      <c r="X40" s="5418"/>
      <c r="Y40" s="5418"/>
      <c r="Z40" s="5418"/>
      <c r="AA40" s="5418"/>
      <c r="AB40" s="5418"/>
      <c r="AC40" s="5418"/>
      <c r="AD40" s="5418"/>
      <c r="AE40" s="5418"/>
      <c r="AF40" s="5418"/>
      <c r="AG40" s="5418"/>
      <c r="AH40" s="5418"/>
      <c r="AI40" s="5419"/>
      <c r="AJ40" s="1495"/>
      <c r="AK40" s="244"/>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5"/>
      <c r="BM40" s="1475">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4278" customWidth="1"/>
    <col min="2" max="2" width="34.5703125" style="4278" customWidth="1"/>
    <col min="3" max="3" width="85" style="4278" customWidth="1"/>
    <col min="4" max="4" width="17" style="4278" customWidth="1"/>
    <col min="5" max="5" width="8" style="4278" customWidth="1"/>
    <col min="6" max="6" width="9.140625" style="4278" hidden="1"/>
  </cols>
  <sheetData>
    <row r="1" spans="1:6" ht="3" customHeight="1">
      <c r="F1" s="30" t="s">
        <v>14</v>
      </c>
    </row>
    <row r="2" spans="1:6" ht="22.5" customHeight="1">
      <c r="B2" s="5665" t="s">
        <v>1997</v>
      </c>
      <c r="C2" s="5665"/>
      <c r="D2" s="5665"/>
      <c r="E2" s="206"/>
      <c r="F2" s="30">
        <v>22</v>
      </c>
    </row>
    <row r="3" spans="1:6" ht="3" customHeight="1">
      <c r="F3" s="30">
        <v>3</v>
      </c>
    </row>
    <row r="4" spans="1:6" ht="23.25" customHeight="1">
      <c r="B4" s="1992" t="s">
        <v>1998</v>
      </c>
      <c r="C4" s="321" t="s">
        <v>1999</v>
      </c>
      <c r="D4" s="321" t="s">
        <v>2000</v>
      </c>
      <c r="F4" s="30">
        <v>22</v>
      </c>
    </row>
    <row r="5" spans="1:6" ht="11.25" hidden="1" customHeight="1">
      <c r="A5" s="30" t="s">
        <v>82</v>
      </c>
      <c r="B5" s="30">
        <v>34</v>
      </c>
      <c r="C5" s="30">
        <v>85</v>
      </c>
      <c r="D5" s="30">
        <v>17</v>
      </c>
      <c r="E5" s="30">
        <v>8</v>
      </c>
      <c r="F5" s="30">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4278" customWidth="1"/>
    <col min="2" max="2" width="10" style="4278" customWidth="1"/>
    <col min="3" max="3" width="9.140625" style="4278"/>
    <col min="4" max="4" width="11.140625" style="4278" customWidth="1"/>
    <col min="5" max="5" width="16.5703125" style="4278" customWidth="1"/>
    <col min="6" max="6" width="16.28515625" style="4278" customWidth="1"/>
    <col min="7" max="7" width="19.140625" style="4278" customWidth="1"/>
    <col min="8" max="11" width="10" style="4278" customWidth="1"/>
    <col min="12" max="12" width="12.7109375" style="4278" customWidth="1"/>
    <col min="13" max="13" width="61.28515625" style="4278" customWidth="1"/>
    <col min="14" max="14" width="10" style="4278" customWidth="1"/>
    <col min="15" max="17" width="23.7109375" style="4278" customWidth="1"/>
    <col min="18" max="18" width="11.7109375" style="4278" customWidth="1"/>
    <col min="19" max="19" width="8.5703125" style="4278" customWidth="1"/>
    <col min="20" max="20" width="11.7109375" style="4278" customWidth="1"/>
    <col min="21" max="21" width="8.5703125" style="4278" customWidth="1"/>
    <col min="22" max="22" width="4.7109375" style="4278" customWidth="1"/>
    <col min="23" max="23" width="115.7109375" style="4278" customWidth="1"/>
    <col min="24" max="24" width="115.28515625" style="4278" customWidth="1"/>
    <col min="25" max="27" width="9.140625" style="4278"/>
    <col min="28" max="28" width="115.7109375" style="4278" customWidth="1"/>
    <col min="29" max="29" width="9.140625" style="4278"/>
    <col min="30" max="90" width="115.7109375" style="4278" customWidth="1"/>
    <col min="91" max="184" width="9.140625" style="4278"/>
  </cols>
  <sheetData>
    <row r="2" spans="1:80" s="5280" customFormat="1" ht="17.25" customHeight="1">
      <c r="A2" s="1735" t="s">
        <v>2001</v>
      </c>
    </row>
    <row r="4" spans="1:80" s="5278" customFormat="1" ht="15" customHeight="1">
      <c r="C4" s="1736"/>
      <c r="D4" s="54"/>
      <c r="E4" s="315"/>
    </row>
    <row r="6" spans="1:80" s="5280" customFormat="1" ht="17.25" customHeight="1">
      <c r="A6" s="1735" t="s">
        <v>2002</v>
      </c>
    </row>
    <row r="8" spans="1:80" s="5278" customFormat="1" ht="17.25" customHeight="1">
      <c r="C8" s="1737"/>
      <c r="D8" s="54"/>
      <c r="E8" s="55"/>
    </row>
    <row r="11" spans="1:80" s="5280" customFormat="1" ht="17.25" customHeight="1">
      <c r="A11" s="1735" t="s">
        <v>2003</v>
      </c>
    </row>
    <row r="13" spans="1:80" s="4277" customFormat="1" ht="15" customHeight="1">
      <c r="A13" s="5316">
        <v>1</v>
      </c>
      <c r="B13" s="1081"/>
      <c r="C13" s="733" t="s">
        <v>104</v>
      </c>
      <c r="D13" s="1738"/>
      <c r="E13" s="1725">
        <f>A13</f>
        <v>1</v>
      </c>
      <c r="F13" s="736"/>
      <c r="G13" s="478" t="str">
        <f>"Территория "&amp;E13</f>
        <v>Территория 1</v>
      </c>
      <c r="H13" s="724"/>
      <c r="I13" s="724"/>
      <c r="J13" s="721"/>
      <c r="K13" s="1545"/>
      <c r="L13" s="1545"/>
      <c r="M13" s="1545"/>
      <c r="N13" s="164"/>
      <c r="O13" s="1545"/>
      <c r="P13" s="163"/>
      <c r="Q13" s="163"/>
      <c r="R13" s="163"/>
      <c r="S13" s="163"/>
    </row>
    <row r="14" spans="1:80" s="4278" customFormat="1" ht="15" customHeight="1">
      <c r="A14" s="5316"/>
      <c r="B14" s="1081">
        <v>1</v>
      </c>
      <c r="C14" s="1081"/>
      <c r="D14" s="732"/>
      <c r="E14" s="1733" t="str">
        <f>A13&amp;"."&amp;B14</f>
        <v>1.1</v>
      </c>
      <c r="F14" s="735">
        <f>$F$20</f>
        <v>0</v>
      </c>
      <c r="G14" s="725"/>
      <c r="H14" s="725"/>
      <c r="I14" s="723"/>
      <c r="J14" s="1545"/>
      <c r="K14" s="1557"/>
      <c r="L14" s="1557"/>
      <c r="M14" s="1545" t="str">
        <f t="array" ref="M14">IF(ISERROR(MATCH(MID(N14,1,250),MID(note_ter,1,250),0)),"n","y")</f>
        <v>n</v>
      </c>
      <c r="N14" s="1557"/>
      <c r="O14" s="1545" t="str">
        <f>H14&amp;"("&amp;I14&amp;")"</f>
        <v>()</v>
      </c>
      <c r="P14" s="1081"/>
      <c r="Q14" s="1081"/>
      <c r="R14" s="358"/>
      <c r="S14" s="1081"/>
      <c r="T14" s="1081"/>
      <c r="U14" s="1081"/>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4278" customFormat="1" ht="15" customHeight="1">
      <c r="A15" s="5316"/>
      <c r="B15" s="1081"/>
      <c r="C15" s="350"/>
      <c r="D15" s="733"/>
      <c r="E15" s="359"/>
      <c r="F15" s="115"/>
      <c r="G15" s="353" t="s">
        <v>102</v>
      </c>
      <c r="H15" s="125"/>
      <c r="I15" s="362"/>
      <c r="J15" s="1557"/>
      <c r="K15" s="1557"/>
      <c r="L15" s="1557"/>
      <c r="M15" s="1557"/>
      <c r="N15" s="1545"/>
      <c r="O15" s="1557"/>
      <c r="P15" s="1081"/>
      <c r="Q15" s="1081"/>
      <c r="R15" s="358"/>
      <c r="S15" s="1081"/>
      <c r="T15" s="1081"/>
      <c r="U15" s="1081"/>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5280" customFormat="1" ht="17.25" customHeight="1">
      <c r="A17" s="1735" t="s">
        <v>2004</v>
      </c>
    </row>
    <row r="19" spans="1:80" s="4278" customFormat="1" ht="15" customHeight="1">
      <c r="A19" s="1800"/>
      <c r="B19" s="1287">
        <v>1</v>
      </c>
      <c r="C19" s="1287"/>
      <c r="D19" s="732" t="s">
        <v>104</v>
      </c>
      <c r="E19" s="1796"/>
      <c r="F19" s="1801">
        <f>$F$20</f>
        <v>0</v>
      </c>
      <c r="G19" s="1805"/>
      <c r="H19" s="1805"/>
      <c r="I19" s="1803"/>
      <c r="J19" s="1545"/>
      <c r="K19" s="1557"/>
      <c r="L19" s="1557"/>
      <c r="M19" s="1545" t="str">
        <f t="array" ref="M19">IF(ISERROR(MATCH(MID(N19,1,250),MID(note_ter,1,250),0)),"n","y")</f>
        <v>n</v>
      </c>
      <c r="N19" s="1557"/>
      <c r="O19" s="1545" t="str">
        <f>H19&amp;"("&amp;I19&amp;")"</f>
        <v>()</v>
      </c>
      <c r="P19" s="1287"/>
      <c r="Q19" s="1287"/>
      <c r="R19" s="358"/>
      <c r="S19" s="1287"/>
      <c r="T19" s="1287"/>
      <c r="U19" s="1287"/>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4278" customFormat="1" ht="15" customHeight="1">
      <c r="A21" s="1735" t="s">
        <v>2005</v>
      </c>
      <c r="B21" s="1735"/>
      <c r="C21" s="1735"/>
      <c r="D21" s="1735"/>
      <c r="E21" s="1735"/>
      <c r="F21" s="1735"/>
      <c r="G21" s="1735"/>
      <c r="H21" s="1735"/>
      <c r="I21" s="1735"/>
      <c r="J21" s="1735"/>
      <c r="K21" s="1735"/>
      <c r="L21" s="1735"/>
      <c r="M21" s="1735"/>
      <c r="N21" s="1735"/>
      <c r="O21" s="1735"/>
      <c r="P21" s="1735"/>
      <c r="Q21" s="1735"/>
      <c r="R21" s="1735"/>
      <c r="S21" s="1735"/>
      <c r="T21" s="1735"/>
      <c r="U21" s="122"/>
      <c r="V21" s="1735"/>
      <c r="W21" s="1735"/>
    </row>
    <row r="22" spans="1:80" s="4278" customFormat="1" ht="15" customHeight="1">
      <c r="U22" s="123"/>
    </row>
    <row r="23" spans="1:80" s="4284" customFormat="1" ht="15" customHeight="1">
      <c r="A23" s="361"/>
      <c r="B23" s="361"/>
      <c r="C23" s="1648" t="s">
        <v>104</v>
      </c>
      <c r="D23" s="5339" t="s">
        <v>136</v>
      </c>
      <c r="E23" s="5340"/>
      <c r="F23" s="5338" t="s">
        <v>19</v>
      </c>
      <c r="G23" s="5697"/>
      <c r="H23" s="5328">
        <v>1</v>
      </c>
      <c r="I23" s="5699" t="str">
        <f>IF(U23="","",INDEX(TERRITORY_MR_LIST,MATCH(U23,TERRITORY_LIST_ID,0)))</f>
        <v/>
      </c>
      <c r="J23" s="5338" t="s">
        <v>19</v>
      </c>
      <c r="K23" s="764"/>
      <c r="L23" s="1702" t="s">
        <v>136</v>
      </c>
      <c r="M23" s="541"/>
      <c r="N23" s="542"/>
      <c r="O23" s="542"/>
      <c r="P23" s="542"/>
      <c r="Q23" s="542"/>
      <c r="R23" s="542"/>
      <c r="S23" s="542"/>
      <c r="T23" s="542"/>
      <c r="U23" s="543"/>
      <c r="V23" s="542"/>
      <c r="W23" s="542"/>
      <c r="X23" s="533"/>
      <c r="Y23" s="533" t="s">
        <v>150</v>
      </c>
      <c r="Z23" s="533">
        <v>1705000</v>
      </c>
      <c r="AA23" s="533"/>
      <c r="AB23" s="533"/>
      <c r="AC23" s="533"/>
      <c r="AD23" s="533"/>
      <c r="AE23" s="533"/>
      <c r="AF23" s="533"/>
      <c r="AG23" s="533"/>
      <c r="AH23" s="533"/>
      <c r="AI23" s="533"/>
      <c r="AJ23" s="533"/>
      <c r="AK23" s="533"/>
      <c r="AL23" s="533"/>
    </row>
    <row r="24" spans="1:80" s="4284" customFormat="1" ht="15" customHeight="1">
      <c r="A24" s="361"/>
      <c r="B24" s="361"/>
      <c r="C24" s="114"/>
      <c r="D24" s="5339"/>
      <c r="E24" s="5341"/>
      <c r="F24" s="5338"/>
      <c r="G24" s="5698"/>
      <c r="H24" s="5328"/>
      <c r="I24" s="5700"/>
      <c r="J24" s="5338"/>
      <c r="K24" s="359"/>
      <c r="L24" s="115"/>
      <c r="M24" s="545" t="s">
        <v>151</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4284" customFormat="1" ht="15" customHeight="1">
      <c r="A25" s="361"/>
      <c r="B25" s="361"/>
      <c r="C25" s="114"/>
      <c r="D25" s="5339"/>
      <c r="E25" s="5342"/>
      <c r="F25" s="5338"/>
      <c r="G25" s="359"/>
      <c r="H25" s="115"/>
      <c r="I25" s="518" t="s">
        <v>152</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4278" customFormat="1" ht="15" customHeight="1">
      <c r="U26" s="123"/>
    </row>
    <row r="27" spans="1:80" s="4278" customFormat="1" ht="15" customHeight="1">
      <c r="A27" s="1735" t="s">
        <v>2006</v>
      </c>
      <c r="B27" s="1735"/>
      <c r="C27" s="1735"/>
      <c r="D27" s="1735"/>
      <c r="E27" s="1735"/>
      <c r="F27" s="1735"/>
      <c r="G27" s="1735"/>
      <c r="H27" s="1735"/>
      <c r="I27" s="1735"/>
      <c r="J27" s="1735"/>
      <c r="K27" s="1735"/>
      <c r="L27" s="1735"/>
      <c r="M27" s="1735"/>
      <c r="N27" s="1735"/>
      <c r="O27" s="1735"/>
      <c r="P27" s="1735"/>
      <c r="Q27" s="1735"/>
      <c r="R27" s="1735"/>
      <c r="S27" s="1735"/>
      <c r="T27" s="1735"/>
      <c r="U27" s="122"/>
      <c r="V27" s="1735"/>
      <c r="W27" s="1735"/>
    </row>
    <row r="28" spans="1:80" s="4278" customFormat="1" ht="15" customHeight="1">
      <c r="U28" s="123"/>
    </row>
    <row r="29" spans="1:80" s="4284" customFormat="1" ht="15" customHeight="1">
      <c r="A29" s="361"/>
      <c r="B29" s="361"/>
      <c r="C29" s="114"/>
      <c r="D29" s="1739"/>
      <c r="E29" s="1739"/>
      <c r="F29" s="1739"/>
      <c r="G29" s="5701" t="s">
        <v>104</v>
      </c>
      <c r="H29" s="5308">
        <v>1</v>
      </c>
      <c r="I29" s="5702" t="str">
        <f>IF(U29="","",INDEX(TERRITORY_MR_LIST,MATCH(U29,TERRITORY_LIST_ID,0)))</f>
        <v/>
      </c>
      <c r="J29" s="5338" t="s">
        <v>19</v>
      </c>
      <c r="K29" s="764"/>
      <c r="L29" s="1702" t="s">
        <v>136</v>
      </c>
      <c r="M29" s="541"/>
      <c r="N29" s="542"/>
      <c r="O29" s="542"/>
      <c r="P29" s="542"/>
      <c r="Q29" s="542"/>
      <c r="R29" s="542"/>
      <c r="S29" s="542"/>
      <c r="T29" s="542"/>
      <c r="U29" s="543"/>
      <c r="V29" s="542"/>
      <c r="W29" s="542"/>
      <c r="X29" s="533"/>
      <c r="Y29" s="533" t="s">
        <v>150</v>
      </c>
      <c r="Z29" s="533">
        <v>1705000</v>
      </c>
      <c r="AA29" s="533"/>
      <c r="AB29" s="533"/>
      <c r="AC29" s="533"/>
      <c r="AD29" s="533"/>
      <c r="AE29" s="533"/>
      <c r="AF29" s="533"/>
      <c r="AG29" s="533"/>
      <c r="AH29" s="533"/>
      <c r="AI29" s="533"/>
      <c r="AJ29" s="533"/>
      <c r="AK29" s="533"/>
      <c r="AL29" s="533"/>
    </row>
    <row r="30" spans="1:80" s="4284" customFormat="1" ht="15" customHeight="1">
      <c r="A30" s="361"/>
      <c r="B30" s="361"/>
      <c r="C30" s="114"/>
      <c r="D30" s="1739"/>
      <c r="E30" s="1739"/>
      <c r="F30" s="1739"/>
      <c r="G30" s="5701"/>
      <c r="H30" s="5308"/>
      <c r="I30" s="5702"/>
      <c r="J30" s="5338"/>
      <c r="K30" s="359"/>
      <c r="L30" s="115"/>
      <c r="M30" s="545" t="s">
        <v>151</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4278" customFormat="1" ht="15" customHeight="1">
      <c r="U31" s="123"/>
    </row>
    <row r="32" spans="1:80" s="4278" customFormat="1" ht="15" customHeight="1">
      <c r="A32" s="1735" t="s">
        <v>2007</v>
      </c>
      <c r="B32" s="1735"/>
      <c r="C32" s="1735"/>
      <c r="D32" s="1735"/>
      <c r="E32" s="1735"/>
      <c r="F32" s="1735"/>
      <c r="G32" s="1735"/>
      <c r="H32" s="1735"/>
      <c r="I32" s="1735"/>
      <c r="J32" s="1735"/>
      <c r="K32" s="1735"/>
      <c r="L32" s="1735"/>
      <c r="M32" s="1735"/>
      <c r="N32" s="1735"/>
      <c r="O32" s="1735"/>
      <c r="P32" s="1735"/>
      <c r="Q32" s="1735"/>
      <c r="R32" s="1735"/>
      <c r="S32" s="1735"/>
      <c r="T32" s="1735"/>
      <c r="U32" s="122"/>
      <c r="V32" s="1735"/>
      <c r="W32" s="1735"/>
    </row>
    <row r="33" spans="1:38" s="4278" customFormat="1" ht="15" customHeight="1">
      <c r="U33" s="123"/>
    </row>
    <row r="34" spans="1:38" s="4284" customFormat="1" ht="15" customHeight="1">
      <c r="A34" s="361"/>
      <c r="B34" s="361"/>
      <c r="C34" s="114"/>
      <c r="D34" s="1739"/>
      <c r="E34" s="1739"/>
      <c r="F34" s="1739"/>
      <c r="G34" s="1739"/>
      <c r="H34" s="1739"/>
      <c r="I34" s="1739"/>
      <c r="J34" s="1739"/>
      <c r="K34" s="1719" t="s">
        <v>104</v>
      </c>
      <c r="L34" s="1649" t="s">
        <v>136</v>
      </c>
      <c r="M34" s="743"/>
      <c r="N34" s="744"/>
      <c r="O34" s="542"/>
      <c r="P34" s="542"/>
      <c r="Q34" s="542"/>
      <c r="R34" s="542"/>
      <c r="S34" s="542"/>
      <c r="T34" s="542"/>
      <c r="U34" s="543"/>
      <c r="V34" s="542"/>
      <c r="W34" s="542"/>
      <c r="X34" s="533"/>
      <c r="Y34" s="533" t="s">
        <v>150</v>
      </c>
      <c r="Z34" s="533">
        <v>1705000</v>
      </c>
      <c r="AA34" s="533"/>
      <c r="AB34" s="533"/>
      <c r="AC34" s="533"/>
      <c r="AD34" s="533"/>
      <c r="AE34" s="533"/>
      <c r="AF34" s="533"/>
      <c r="AG34" s="533"/>
      <c r="AH34" s="533"/>
      <c r="AI34" s="533"/>
      <c r="AJ34" s="533"/>
      <c r="AK34" s="533"/>
      <c r="AL34" s="533"/>
    </row>
    <row r="35" spans="1:38" s="4278" customFormat="1" ht="15" customHeight="1">
      <c r="U35" s="123"/>
    </row>
    <row r="36" spans="1:38" s="4278" customFormat="1" ht="15" customHeight="1">
      <c r="U36" s="123"/>
    </row>
    <row r="37" spans="1:38" s="5280" customFormat="1" ht="11.25" customHeight="1">
      <c r="A37" s="1735" t="s">
        <v>2008</v>
      </c>
    </row>
    <row r="38" spans="1:38" ht="11.25" customHeight="1"/>
    <row r="39" spans="1:38" s="4296" customFormat="1" ht="22.5" customHeight="1">
      <c r="A39" s="1711"/>
      <c r="B39" s="395"/>
      <c r="C39" s="787"/>
      <c r="D39" s="378"/>
      <c r="E39" s="788"/>
      <c r="F39" s="1732"/>
      <c r="G39" s="1740"/>
      <c r="H39" s="413"/>
    </row>
    <row r="40" spans="1:38" ht="11.25" customHeight="1"/>
    <row r="41" spans="1:38" s="5280" customFormat="1" ht="11.25" customHeight="1">
      <c r="A41" s="1735" t="s">
        <v>2009</v>
      </c>
    </row>
    <row r="42" spans="1:38" ht="11.25" customHeight="1"/>
    <row r="43" spans="1:38" s="4296" customFormat="1" ht="22.5" customHeight="1">
      <c r="A43" s="395"/>
      <c r="B43" s="395"/>
      <c r="C43" s="395"/>
      <c r="D43" s="378"/>
      <c r="E43" s="788"/>
      <c r="F43" s="789"/>
      <c r="G43" s="1740"/>
      <c r="H43" s="413"/>
    </row>
    <row r="44" spans="1:38" ht="11.25" customHeight="1"/>
    <row r="45" spans="1:38" s="5280" customFormat="1" ht="11.25" customHeight="1">
      <c r="A45" s="1735" t="s">
        <v>2010</v>
      </c>
    </row>
    <row r="46" spans="1:38" ht="11.25" customHeight="1"/>
    <row r="47" spans="1:38" s="4296" customFormat="1" ht="24" customHeight="1">
      <c r="A47" s="5424" t="s">
        <v>406</v>
      </c>
      <c r="B47" s="440"/>
      <c r="C47" s="5435"/>
      <c r="D47" s="383" t="str">
        <f>A47</f>
        <v>5.1</v>
      </c>
      <c r="E47" s="380" t="s">
        <v>407</v>
      </c>
      <c r="F47" s="1891" t="s">
        <v>399</v>
      </c>
      <c r="G47" s="382" t="s">
        <v>408</v>
      </c>
      <c r="H47" s="413"/>
      <c r="I47" s="780"/>
    </row>
    <row r="48" spans="1:38" s="4296" customFormat="1" ht="22.5" customHeight="1">
      <c r="A48" s="5424"/>
      <c r="B48" s="440"/>
      <c r="C48" s="5435"/>
      <c r="D48" s="378" t="str">
        <f>D47&amp;".1"</f>
        <v>5.1.1</v>
      </c>
      <c r="E48" s="377" t="s">
        <v>409</v>
      </c>
      <c r="F48" s="1892" t="s">
        <v>28</v>
      </c>
      <c r="G48" s="412"/>
      <c r="H48" s="413"/>
      <c r="I48" s="780"/>
    </row>
    <row r="49" spans="1:45" s="4296" customFormat="1" ht="22.5" customHeight="1">
      <c r="A49" s="5424"/>
      <c r="B49" s="440"/>
      <c r="C49" s="5435"/>
      <c r="D49" s="378" t="str">
        <f>D47&amp;".2"</f>
        <v>5.1.2</v>
      </c>
      <c r="E49" s="377" t="s">
        <v>410</v>
      </c>
      <c r="F49" s="1652" t="s">
        <v>28</v>
      </c>
      <c r="G49" s="382" t="s">
        <v>411</v>
      </c>
      <c r="H49" s="413"/>
      <c r="I49" s="780"/>
    </row>
    <row r="50" spans="1:45" s="4296" customFormat="1" ht="22.5" customHeight="1">
      <c r="A50" s="5424"/>
      <c r="B50" s="440"/>
      <c r="C50" s="5435"/>
      <c r="D50" s="378" t="str">
        <f>D47&amp;".3"</f>
        <v>5.1.3</v>
      </c>
      <c r="E50" s="377" t="s">
        <v>412</v>
      </c>
      <c r="F50" s="1892" t="s">
        <v>28</v>
      </c>
      <c r="G50" s="412"/>
      <c r="H50" s="413"/>
      <c r="I50" s="780"/>
    </row>
    <row r="51" spans="1:45" s="4296" customFormat="1" ht="22.5" customHeight="1">
      <c r="A51" s="5424"/>
      <c r="B51" s="440"/>
      <c r="C51" s="5435"/>
      <c r="D51" s="378" t="str">
        <f>D47&amp;".4"</f>
        <v>5.1.4</v>
      </c>
      <c r="E51" s="377" t="s">
        <v>413</v>
      </c>
      <c r="F51" s="1892" t="s">
        <v>28</v>
      </c>
      <c r="G51" s="382" t="s">
        <v>414</v>
      </c>
      <c r="H51" s="413"/>
      <c r="I51" s="780"/>
    </row>
    <row r="54" spans="1:45" s="5280" customFormat="1" ht="17.25" customHeight="1">
      <c r="A54" s="1735" t="s">
        <v>2011</v>
      </c>
    </row>
    <row r="56" spans="1:45" s="4266" customFormat="1" ht="18.75" customHeight="1">
      <c r="A56" s="30"/>
      <c r="B56" s="1741"/>
      <c r="C56" s="1741"/>
      <c r="D56" s="1742"/>
      <c r="E56" s="1729"/>
      <c r="F56" s="796">
        <v>13</v>
      </c>
      <c r="G56" s="795"/>
      <c r="H56" s="725"/>
      <c r="I56" s="723"/>
      <c r="J56" s="458" t="s">
        <v>66</v>
      </c>
      <c r="K56" s="1743" t="s">
        <v>28</v>
      </c>
      <c r="L56" s="30"/>
      <c r="M56" s="1557"/>
      <c r="N56" s="1557"/>
      <c r="O56" s="1557"/>
      <c r="P56" s="454" t="s">
        <v>485</v>
      </c>
      <c r="Q56" s="454" t="s">
        <v>486</v>
      </c>
      <c r="R56" s="455" t="s">
        <v>487</v>
      </c>
      <c r="S56" s="1557" t="s">
        <v>488</v>
      </c>
      <c r="T56" s="1557"/>
      <c r="U56" s="1557"/>
      <c r="V56" s="1557"/>
    </row>
    <row r="58" spans="1:45" s="5280" customFormat="1" ht="11.25" customHeight="1">
      <c r="A58" s="1735" t="s">
        <v>2012</v>
      </c>
    </row>
    <row r="60" spans="1:45" s="4267" customFormat="1" ht="14.25" customHeight="1">
      <c r="C60" s="1609"/>
      <c r="D60" s="1787"/>
      <c r="E60" s="1697" t="s">
        <v>28</v>
      </c>
      <c r="F60" s="1786"/>
      <c r="G60" s="784"/>
      <c r="H60" s="1698"/>
      <c r="I60" s="1698"/>
      <c r="J60" s="371"/>
      <c r="K60" s="1781"/>
      <c r="L60" s="370"/>
      <c r="M60" s="1781"/>
      <c r="N60" s="371"/>
      <c r="O60" s="1781"/>
      <c r="P60" s="371"/>
      <c r="Q60" s="1781"/>
      <c r="R60" s="371"/>
      <c r="S60" s="782"/>
      <c r="T60" s="1698"/>
      <c r="U60" s="371"/>
      <c r="V60" s="371"/>
      <c r="W60" s="1785"/>
      <c r="X60" s="1698"/>
      <c r="Y60" s="371"/>
      <c r="Z60" s="371"/>
      <c r="AA60" s="1785"/>
      <c r="AB60" s="1698"/>
      <c r="AC60" s="371"/>
      <c r="AD60" s="1785"/>
      <c r="AE60" s="30"/>
      <c r="AF60" s="30"/>
      <c r="AG60" s="30"/>
      <c r="AH60" s="30"/>
      <c r="AJ60" s="1557"/>
      <c r="AK60" s="1557"/>
      <c r="AL60" s="1557"/>
      <c r="AM60" s="1557"/>
      <c r="AN60" s="1557"/>
      <c r="AO60" s="1557"/>
      <c r="AP60" s="1545" t="s">
        <v>474</v>
      </c>
      <c r="AQ60" s="1545" t="s">
        <v>474</v>
      </c>
      <c r="AR60" s="1557"/>
      <c r="AS60" s="1557"/>
    </row>
    <row r="62" spans="1:45" s="5280" customFormat="1" ht="11.25" customHeight="1">
      <c r="A62" s="1735" t="s">
        <v>2013</v>
      </c>
    </row>
    <row r="64" spans="1:45" s="5268" customFormat="1" ht="15" customHeight="1">
      <c r="A64" s="84" t="s">
        <v>90</v>
      </c>
      <c r="B64" s="66" t="s">
        <v>28</v>
      </c>
      <c r="C64" s="1744"/>
      <c r="D64" s="69"/>
      <c r="E64" s="319"/>
      <c r="F64" s="319"/>
      <c r="G64" s="1723"/>
      <c r="H64" s="1743"/>
      <c r="I64" s="1724"/>
      <c r="K64" s="210"/>
      <c r="L64" s="211"/>
    </row>
    <row r="66" spans="1:30" s="5280" customFormat="1" ht="11.25" customHeight="1">
      <c r="A66" s="1735" t="s">
        <v>2014</v>
      </c>
    </row>
    <row r="68" spans="1:30" s="4267" customFormat="1" ht="14.25" customHeight="1">
      <c r="A68" s="281"/>
      <c r="B68" s="1081"/>
      <c r="C68" s="314"/>
      <c r="D68" s="1730"/>
      <c r="E68" s="813"/>
      <c r="F68" s="1743"/>
      <c r="G68" s="30"/>
      <c r="I68" s="1545"/>
      <c r="J68" s="1545"/>
    </row>
    <row r="70" spans="1:30" s="5280" customFormat="1" ht="11.25" customHeight="1">
      <c r="A70" s="1735" t="s">
        <v>2015</v>
      </c>
    </row>
    <row r="72" spans="1:30" s="4267" customFormat="1" ht="27" customHeight="1">
      <c r="A72" s="1087"/>
      <c r="B72" s="1087"/>
      <c r="C72" s="1087"/>
      <c r="D72" s="1081"/>
      <c r="E72" s="1745"/>
      <c r="F72" s="5666"/>
      <c r="G72" s="5667"/>
      <c r="H72" s="5668" t="s">
        <v>66</v>
      </c>
      <c r="I72" s="5670"/>
      <c r="J72" s="5672"/>
      <c r="K72" s="5674"/>
      <c r="L72" s="5685"/>
      <c r="M72" s="5685"/>
      <c r="N72" s="5705"/>
      <c r="O72" s="5705"/>
      <c r="P72" s="5706" t="e">
        <f>DATEDIF(DATEVALUE(N72),DATEVALUE(O72),"y")&amp;"г. "&amp;DATEDIF(DATEVALUE(N72),DATEVALUE(O72),"ym")&amp;"мес. "&amp;DATEVALUE(O72)-DATE(YEAR(DATEVALUE(O72)),MONTH(DATEVALUE(O72)),1)&amp;"дн. "</f>
        <v>#VALUE!</v>
      </c>
      <c r="Q72" s="5686"/>
      <c r="R72" s="5686"/>
      <c r="S72" s="5686"/>
      <c r="T72" s="5672"/>
      <c r="U72" s="5686"/>
      <c r="V72" s="5686"/>
      <c r="W72" s="5686"/>
      <c r="X72" s="5672"/>
      <c r="Y72" s="5703" t="s">
        <v>66</v>
      </c>
      <c r="Z72" s="1728"/>
      <c r="AA72" s="1712">
        <v>1</v>
      </c>
      <c r="AB72" s="1163"/>
      <c r="AD72" s="1557" t="s">
        <v>2016</v>
      </c>
    </row>
    <row r="73" spans="1:30" s="4267" customFormat="1" ht="10.5" customHeight="1">
      <c r="A73" s="1087"/>
      <c r="B73" s="1087"/>
      <c r="C73" s="1087"/>
      <c r="D73" s="1081"/>
      <c r="E73" s="874"/>
      <c r="F73" s="5666"/>
      <c r="G73" s="5667"/>
      <c r="H73" s="5669"/>
      <c r="I73" s="5671"/>
      <c r="J73" s="5673"/>
      <c r="K73" s="5674"/>
      <c r="L73" s="5685"/>
      <c r="M73" s="5685"/>
      <c r="N73" s="5705"/>
      <c r="O73" s="5705"/>
      <c r="P73" s="5706"/>
      <c r="Q73" s="5686"/>
      <c r="R73" s="5686"/>
      <c r="S73" s="5686"/>
      <c r="T73" s="5673"/>
      <c r="U73" s="5686"/>
      <c r="V73" s="5686"/>
      <c r="W73" s="5686"/>
      <c r="X73" s="5673"/>
      <c r="Y73" s="5704"/>
      <c r="Z73" s="285"/>
      <c r="AA73" s="510"/>
      <c r="AB73" s="590" t="s">
        <v>2017</v>
      </c>
    </row>
    <row r="75" spans="1:30" s="5280" customFormat="1" ht="11.25" customHeight="1">
      <c r="A75" s="1735" t="s">
        <v>2018</v>
      </c>
    </row>
    <row r="77" spans="1:30" s="4267" customFormat="1" ht="27" customHeight="1">
      <c r="A77" s="1087"/>
      <c r="B77" s="1087"/>
      <c r="C77" s="1087"/>
      <c r="D77" s="1081"/>
      <c r="E77" s="1745"/>
      <c r="F77" s="1717"/>
      <c r="G77" s="1667"/>
      <c r="H77" s="1668"/>
      <c r="I77" s="1669"/>
      <c r="J77" s="1670"/>
      <c r="K77" s="1671"/>
      <c r="L77" s="1672"/>
      <c r="M77" s="1672"/>
      <c r="N77" s="1673"/>
      <c r="O77" s="1673"/>
      <c r="P77" s="1674"/>
      <c r="Q77" s="1675"/>
      <c r="R77" s="1675"/>
      <c r="S77" s="1675"/>
      <c r="T77" s="1670"/>
      <c r="U77" s="1675"/>
      <c r="V77" s="1675"/>
      <c r="W77" s="1675"/>
      <c r="X77" s="1670"/>
      <c r="Y77" s="1668"/>
      <c r="Z77" s="1728"/>
      <c r="AA77" s="1712">
        <v>1</v>
      </c>
      <c r="AB77" s="1163"/>
      <c r="AD77" s="1557" t="s">
        <v>2016</v>
      </c>
    </row>
    <row r="79" spans="1:30" s="5280" customFormat="1" ht="11.25" customHeight="1">
      <c r="A79" s="1735" t="s">
        <v>2019</v>
      </c>
    </row>
    <row r="80" spans="1:30" ht="17.25" customHeight="1"/>
    <row r="81" spans="1:58" s="4267" customFormat="1" ht="21" customHeight="1">
      <c r="A81" s="1088"/>
      <c r="B81" s="1087"/>
      <c r="C81" s="1087"/>
      <c r="D81" s="1081"/>
      <c r="E81" s="1091"/>
      <c r="F81" s="1043" t="e">
        <f>INDEX(IP_MAIN_LIST_NAME_IP,MATCH(A81,IP_MAIN_LIST_IP_ID,0))&amp;" ("&amp;INDEX(IP_MAIN_START_DATE,MATCH(A81,IP_MAIN_LIST_IP_ID,0))&amp;"-"&amp;INDEX(IP_MAIN_END_DATE,MATCH(A81,IP_MAIN_LIST_IP_ID,0))&amp;")"</f>
        <v>#N/A</v>
      </c>
      <c r="G81" s="1044"/>
      <c r="H81" s="1044"/>
      <c r="I81" s="1106"/>
      <c r="J81" s="1106"/>
      <c r="K81" s="1107"/>
      <c r="L81" s="1107"/>
      <c r="M81" s="1107"/>
      <c r="N81" s="1108"/>
      <c r="O81" s="1108"/>
      <c r="P81" s="1108"/>
      <c r="Q81" s="1108"/>
      <c r="R81" s="1108"/>
      <c r="S81" s="1108"/>
      <c r="T81" s="1108"/>
      <c r="U81" s="1108"/>
      <c r="V81" s="1108"/>
      <c r="W81" s="1108"/>
      <c r="X81" s="1108"/>
      <c r="Y81" s="1108"/>
      <c r="Z81" s="1108"/>
      <c r="AA81" s="1108"/>
      <c r="AB81" s="1108"/>
      <c r="AC81" s="1108"/>
      <c r="AD81" s="1108"/>
      <c r="AE81" s="1109"/>
      <c r="AF81" s="1107"/>
      <c r="AG81" s="1107"/>
      <c r="AH81" s="1107"/>
      <c r="AI81" s="1107"/>
      <c r="AJ81" s="1107"/>
      <c r="AK81" s="1107"/>
      <c r="AL81" s="1903"/>
      <c r="AM81" s="1741"/>
      <c r="AN81" s="1741"/>
      <c r="AO81" s="1741"/>
      <c r="AP81" s="1741"/>
      <c r="AQ81" s="1741"/>
      <c r="AR81" s="1741"/>
      <c r="AS81" s="1741"/>
      <c r="AT81" s="1741"/>
      <c r="AU81" s="1741"/>
      <c r="AV81" s="1741"/>
      <c r="AW81" s="1741"/>
      <c r="AX81" s="1741"/>
      <c r="AY81" s="1741"/>
      <c r="AZ81" s="1741"/>
      <c r="BA81" s="1741"/>
      <c r="BB81" s="1741"/>
      <c r="BC81" s="1741"/>
      <c r="BD81" s="1741"/>
      <c r="BE81" s="1741"/>
      <c r="BF81" s="1741"/>
    </row>
    <row r="82" spans="1:58" s="4267" customFormat="1" ht="0.75" customHeight="1">
      <c r="A82" s="1087"/>
      <c r="B82" s="1087"/>
      <c r="C82" s="1087"/>
      <c r="D82" s="1081"/>
      <c r="E82" s="1091"/>
      <c r="F82" s="5709"/>
      <c r="G82" s="5624"/>
      <c r="H82" s="5712" t="s">
        <v>469</v>
      </c>
      <c r="I82" s="5713"/>
      <c r="J82" s="5678"/>
      <c r="K82" s="5678"/>
      <c r="L82" s="5707"/>
      <c r="M82" s="5466"/>
      <c r="N82" s="1951"/>
      <c r="O82" s="1950"/>
      <c r="P82" s="1951"/>
      <c r="Q82" s="1951"/>
      <c r="R82" s="1951"/>
      <c r="S82" s="1951"/>
      <c r="T82" s="1951"/>
      <c r="U82" s="1951"/>
      <c r="V82" s="1951"/>
      <c r="W82" s="1951"/>
      <c r="X82" s="1951"/>
      <c r="Y82" s="1951"/>
      <c r="Z82" s="1951"/>
      <c r="AA82" s="1951"/>
      <c r="AB82" s="1951"/>
      <c r="AC82" s="1951"/>
      <c r="AD82" s="1951"/>
      <c r="AE82" s="1951"/>
      <c r="AF82" s="5711"/>
      <c r="AG82" s="5707"/>
      <c r="AH82" s="5707"/>
      <c r="AI82" s="5711"/>
      <c r="AJ82" s="5707"/>
      <c r="AK82" s="5707"/>
      <c r="AL82" s="1903"/>
      <c r="AM82" s="1741"/>
      <c r="AN82" s="1741"/>
      <c r="AO82" s="1741"/>
      <c r="AP82" s="1741"/>
      <c r="AQ82" s="1741"/>
      <c r="AR82" s="1741"/>
      <c r="AS82" s="1741"/>
      <c r="AT82" s="1741"/>
      <c r="AU82" s="1741"/>
      <c r="AV82" s="1741"/>
      <c r="AW82" s="1741"/>
      <c r="AX82" s="1741"/>
      <c r="AY82" s="1741"/>
      <c r="AZ82" s="1741"/>
      <c r="BA82" s="1741"/>
      <c r="BB82" s="1741"/>
      <c r="BC82" s="1741"/>
      <c r="BD82" s="1741"/>
      <c r="BE82" s="1741"/>
      <c r="BF82" s="1741"/>
    </row>
    <row r="83" spans="1:58" s="4267" customFormat="1" ht="0.75" customHeight="1">
      <c r="A83" s="1087"/>
      <c r="B83" s="1087"/>
      <c r="C83" s="1087"/>
      <c r="D83" s="1081"/>
      <c r="E83" s="1091"/>
      <c r="F83" s="5709"/>
      <c r="G83" s="5624"/>
      <c r="H83" s="5712"/>
      <c r="I83" s="5713"/>
      <c r="J83" s="5678"/>
      <c r="K83" s="5678"/>
      <c r="L83" s="5707"/>
      <c r="M83" s="5466"/>
      <c r="N83" s="5714"/>
      <c r="O83" s="5715"/>
      <c r="P83" s="5675"/>
      <c r="Q83" s="5678"/>
      <c r="R83" s="5678"/>
      <c r="S83" s="5678"/>
      <c r="T83" s="5678"/>
      <c r="U83" s="5678"/>
      <c r="V83" s="5678"/>
      <c r="W83" s="5678"/>
      <c r="X83" s="5678"/>
      <c r="Y83" s="5678"/>
      <c r="Z83" s="1952"/>
      <c r="AA83" s="1953"/>
      <c r="AB83" s="1953"/>
      <c r="AC83" s="1954"/>
      <c r="AD83" s="1954"/>
      <c r="AE83" s="1955"/>
      <c r="AF83" s="5711"/>
      <c r="AG83" s="5707"/>
      <c r="AH83" s="5707"/>
      <c r="AI83" s="5711"/>
      <c r="AJ83" s="5707"/>
      <c r="AK83" s="5707"/>
      <c r="AL83" s="1903"/>
      <c r="AM83" s="1741"/>
      <c r="AN83" s="1741"/>
      <c r="AO83" s="1741"/>
      <c r="AP83" s="1741"/>
      <c r="AQ83" s="1741"/>
      <c r="AR83" s="1741"/>
      <c r="AS83" s="1741"/>
      <c r="AT83" s="1741"/>
      <c r="AU83" s="1741"/>
      <c r="AV83" s="1741"/>
      <c r="AW83" s="1741"/>
      <c r="AX83" s="1741"/>
      <c r="AY83" s="1741"/>
      <c r="AZ83" s="1741"/>
      <c r="BA83" s="1741"/>
      <c r="BB83" s="1741"/>
      <c r="BC83" s="1741"/>
      <c r="BD83" s="1741"/>
      <c r="BE83" s="1741"/>
      <c r="BF83" s="1741"/>
    </row>
    <row r="84" spans="1:58" s="4267" customFormat="1" ht="0.75" customHeight="1">
      <c r="A84" s="1087"/>
      <c r="B84" s="1087"/>
      <c r="C84" s="1087"/>
      <c r="D84" s="1081"/>
      <c r="E84" s="1091"/>
      <c r="F84" s="5709"/>
      <c r="G84" s="5624"/>
      <c r="H84" s="5712"/>
      <c r="I84" s="5713"/>
      <c r="J84" s="5678"/>
      <c r="K84" s="5678"/>
      <c r="L84" s="5707"/>
      <c r="M84" s="5466"/>
      <c r="N84" s="5714"/>
      <c r="O84" s="5715"/>
      <c r="P84" s="5676"/>
      <c r="Q84" s="5678"/>
      <c r="R84" s="5678"/>
      <c r="S84" s="5678"/>
      <c r="T84" s="5678"/>
      <c r="U84" s="5678"/>
      <c r="V84" s="5678"/>
      <c r="W84" s="5678"/>
      <c r="X84" s="5678"/>
      <c r="Y84" s="5678"/>
      <c r="Z84" s="1956"/>
      <c r="AA84" s="1957"/>
      <c r="AB84" s="1958"/>
      <c r="AC84" s="1959"/>
      <c r="AD84" s="1958"/>
      <c r="AE84" s="1959"/>
      <c r="AF84" s="5711"/>
      <c r="AG84" s="5707"/>
      <c r="AH84" s="5707"/>
      <c r="AI84" s="5711"/>
      <c r="AJ84" s="5707"/>
      <c r="AK84" s="5707"/>
      <c r="AL84" s="1903"/>
      <c r="AM84" s="1741"/>
      <c r="AN84" s="1741"/>
      <c r="AO84" s="1741"/>
      <c r="AP84" s="1741"/>
      <c r="AQ84" s="1741"/>
      <c r="AR84" s="1741"/>
      <c r="AS84" s="1741"/>
      <c r="AT84" s="1741"/>
      <c r="AU84" s="1741"/>
      <c r="AV84" s="1741"/>
      <c r="AW84" s="1741"/>
      <c r="AX84" s="1741"/>
      <c r="AY84" s="1741"/>
      <c r="AZ84" s="1741"/>
      <c r="BA84" s="1741"/>
      <c r="BB84" s="1741"/>
      <c r="BC84" s="1741"/>
      <c r="BD84" s="1741"/>
      <c r="BE84" s="1741"/>
      <c r="BF84" s="1741"/>
    </row>
    <row r="85" spans="1:58" s="4267" customFormat="1" ht="0.75" customHeight="1">
      <c r="A85" s="1087"/>
      <c r="B85" s="1087"/>
      <c r="C85" s="1087"/>
      <c r="D85" s="1081"/>
      <c r="E85" s="1091"/>
      <c r="F85" s="5709"/>
      <c r="G85" s="5624"/>
      <c r="H85" s="5712"/>
      <c r="I85" s="5713"/>
      <c r="J85" s="5678"/>
      <c r="K85" s="5678"/>
      <c r="L85" s="5707"/>
      <c r="M85" s="5466"/>
      <c r="N85" s="5714"/>
      <c r="O85" s="5715"/>
      <c r="P85" s="5677"/>
      <c r="Q85" s="5678"/>
      <c r="R85" s="5678"/>
      <c r="S85" s="5678"/>
      <c r="T85" s="5678"/>
      <c r="U85" s="5678"/>
      <c r="V85" s="5678"/>
      <c r="W85" s="5678"/>
      <c r="X85" s="5678"/>
      <c r="Y85" s="5678"/>
      <c r="Z85" s="1952"/>
      <c r="AA85" s="1953"/>
      <c r="AB85" s="1960"/>
      <c r="AC85" s="1954"/>
      <c r="AD85" s="1954"/>
      <c r="AE85" s="1961"/>
      <c r="AF85" s="5711"/>
      <c r="AG85" s="5707"/>
      <c r="AH85" s="5707"/>
      <c r="AI85" s="5711"/>
      <c r="AJ85" s="5707"/>
      <c r="AK85" s="5707"/>
      <c r="AL85" s="1903"/>
      <c r="AM85" s="1741"/>
      <c r="AN85" s="1741"/>
      <c r="AO85" s="1741"/>
      <c r="AP85" s="1741"/>
      <c r="AQ85" s="1741"/>
      <c r="AR85" s="1741"/>
      <c r="AS85" s="1741"/>
      <c r="AT85" s="1741"/>
      <c r="AU85" s="1741"/>
      <c r="AV85" s="1741"/>
      <c r="AW85" s="1741"/>
      <c r="AX85" s="1741"/>
      <c r="AY85" s="1741"/>
      <c r="AZ85" s="1741"/>
      <c r="BA85" s="1741"/>
      <c r="BB85" s="1741"/>
      <c r="BC85" s="1741"/>
      <c r="BD85" s="1741"/>
      <c r="BE85" s="1741"/>
      <c r="BF85" s="1741"/>
    </row>
    <row r="86" spans="1:58" s="4267" customFormat="1" ht="0.75" customHeight="1">
      <c r="A86" s="1087"/>
      <c r="B86" s="1087"/>
      <c r="C86" s="1087"/>
      <c r="D86" s="1081"/>
      <c r="E86" s="1091"/>
      <c r="F86" s="5709"/>
      <c r="G86" s="5624"/>
      <c r="H86" s="5712"/>
      <c r="I86" s="5713"/>
      <c r="J86" s="5678"/>
      <c r="K86" s="5678"/>
      <c r="L86" s="5707"/>
      <c r="M86" s="5466"/>
      <c r="N86" s="1953"/>
      <c r="O86" s="1953"/>
      <c r="P86" s="1960"/>
      <c r="Q86" s="1953"/>
      <c r="R86" s="1953"/>
      <c r="S86" s="1953"/>
      <c r="T86" s="1953"/>
      <c r="U86" s="1953"/>
      <c r="V86" s="1953"/>
      <c r="W86" s="1953"/>
      <c r="X86" s="1953"/>
      <c r="Y86" s="1953"/>
      <c r="Z86" s="1953"/>
      <c r="AA86" s="1953"/>
      <c r="AB86" s="1953"/>
      <c r="AC86" s="1953"/>
      <c r="AD86" s="1953"/>
      <c r="AE86" s="1962"/>
      <c r="AF86" s="5711"/>
      <c r="AG86" s="5707"/>
      <c r="AH86" s="5707"/>
      <c r="AI86" s="5711"/>
      <c r="AJ86" s="5707"/>
      <c r="AK86" s="5707"/>
      <c r="AL86" s="1903"/>
      <c r="AM86" s="1741"/>
      <c r="AN86" s="1741"/>
      <c r="AO86" s="1741"/>
      <c r="AP86" s="1741"/>
      <c r="AQ86" s="1741"/>
      <c r="AR86" s="1741"/>
      <c r="AS86" s="1741"/>
      <c r="AT86" s="1741"/>
      <c r="AU86" s="1741"/>
      <c r="AV86" s="1741"/>
      <c r="AW86" s="1741"/>
      <c r="AX86" s="1741"/>
      <c r="AY86" s="1741"/>
      <c r="AZ86" s="1741"/>
      <c r="BA86" s="1741"/>
      <c r="BB86" s="1741"/>
      <c r="BC86" s="1741"/>
      <c r="BD86" s="1741"/>
      <c r="BE86" s="1741"/>
      <c r="BF86" s="1741"/>
    </row>
    <row r="87" spans="1:58" s="4267" customFormat="1" ht="12" customHeight="1">
      <c r="A87" s="1087"/>
      <c r="B87" s="1087"/>
      <c r="C87" s="1087"/>
      <c r="D87" s="1081"/>
      <c r="E87" s="1091"/>
      <c r="F87" s="5710"/>
      <c r="G87" s="1111"/>
      <c r="H87" s="1111"/>
      <c r="I87" s="5708" t="s">
        <v>2020</v>
      </c>
      <c r="J87" s="5708"/>
      <c r="K87" s="5708"/>
      <c r="L87" s="1094"/>
      <c r="M87" s="1094"/>
      <c r="N87" s="1095"/>
      <c r="O87" s="1095"/>
      <c r="P87" s="1095"/>
      <c r="Q87" s="1095"/>
      <c r="R87" s="1095"/>
      <c r="S87" s="1095"/>
      <c r="T87" s="1095"/>
      <c r="U87" s="1095"/>
      <c r="V87" s="1095"/>
      <c r="W87" s="1095"/>
      <c r="X87" s="1095"/>
      <c r="Y87" s="1095"/>
      <c r="Z87" s="1095"/>
      <c r="AA87" s="1095"/>
      <c r="AB87" s="1095"/>
      <c r="AC87" s="1095"/>
      <c r="AD87" s="1095"/>
      <c r="AE87" s="1095"/>
      <c r="AF87" s="1095"/>
      <c r="AG87" s="1094"/>
      <c r="AH87" s="1094"/>
      <c r="AI87" s="1095"/>
      <c r="AJ87" s="1094"/>
      <c r="AK87" s="1095"/>
      <c r="AL87" s="1903"/>
      <c r="AM87" s="1741"/>
      <c r="AN87" s="1741"/>
      <c r="AO87" s="1741"/>
      <c r="AP87" s="1741"/>
      <c r="AQ87" s="1741"/>
      <c r="AR87" s="1741"/>
      <c r="AS87" s="1741"/>
      <c r="AT87" s="1741"/>
      <c r="AU87" s="1741"/>
      <c r="AV87" s="1741"/>
      <c r="AW87" s="1741"/>
      <c r="AX87" s="1741"/>
      <c r="AY87" s="1741"/>
      <c r="AZ87" s="1741"/>
      <c r="BA87" s="1741"/>
      <c r="BB87" s="1741"/>
      <c r="BC87" s="1741"/>
      <c r="BD87" s="1741"/>
      <c r="BE87" s="1741"/>
      <c r="BF87" s="1741"/>
    </row>
    <row r="89" spans="1:58" s="5280" customFormat="1" ht="11.25" customHeight="1">
      <c r="A89" s="1735" t="s">
        <v>2021</v>
      </c>
    </row>
    <row r="91" spans="1:58" s="4267" customFormat="1" ht="11.25" customHeight="1">
      <c r="A91" s="1087"/>
      <c r="B91" s="1087"/>
      <c r="C91" s="1087"/>
      <c r="D91" s="1081"/>
      <c r="E91" s="1091"/>
      <c r="F91" s="1747"/>
      <c r="G91" s="1748"/>
      <c r="H91" s="1748"/>
      <c r="I91" s="1684"/>
      <c r="J91" s="1684"/>
      <c r="K91" s="1749"/>
      <c r="L91" s="1684"/>
      <c r="M91" s="1748"/>
      <c r="N91" s="5679"/>
      <c r="O91" s="5680">
        <v>1</v>
      </c>
      <c r="P91" s="5681" t="s">
        <v>19</v>
      </c>
      <c r="Q91" s="5588" t="s">
        <v>28</v>
      </c>
      <c r="R91" s="5588" t="s">
        <v>28</v>
      </c>
      <c r="S91" s="5588" t="s">
        <v>28</v>
      </c>
      <c r="T91" s="5588" t="s">
        <v>28</v>
      </c>
      <c r="U91" s="5588" t="s">
        <v>28</v>
      </c>
      <c r="V91" s="5588" t="s">
        <v>28</v>
      </c>
      <c r="W91" s="5588" t="s">
        <v>28</v>
      </c>
      <c r="X91" s="5588" t="s">
        <v>28</v>
      </c>
      <c r="Y91" s="5588"/>
      <c r="Z91" s="1096"/>
      <c r="AA91" s="1097"/>
      <c r="AB91" s="1097"/>
      <c r="AC91" s="1101"/>
      <c r="AD91" s="1101"/>
      <c r="AE91" s="1101"/>
      <c r="AF91" s="1750"/>
      <c r="AG91" s="1679"/>
      <c r="AH91" s="1679"/>
      <c r="AI91" s="1750"/>
      <c r="AJ91" s="1679"/>
      <c r="AK91" s="1902"/>
      <c r="AL91" s="1903"/>
      <c r="AM91" s="1741"/>
      <c r="AN91" s="1741"/>
      <c r="AO91" s="1741"/>
      <c r="AP91" s="1741"/>
      <c r="AQ91" s="1741"/>
      <c r="AR91" s="1741"/>
      <c r="AS91" s="1741"/>
      <c r="AT91" s="1741"/>
      <c r="AU91" s="1741"/>
      <c r="AV91" s="1741"/>
      <c r="AW91" s="1741"/>
      <c r="AX91" s="1741"/>
      <c r="AY91" s="1741"/>
      <c r="AZ91" s="1741"/>
      <c r="BA91" s="1741"/>
      <c r="BB91" s="1741"/>
      <c r="BC91" s="1741"/>
      <c r="BD91" s="1741"/>
      <c r="BE91" s="1741"/>
      <c r="BF91" s="1741"/>
    </row>
    <row r="92" spans="1:58" s="4267" customFormat="1" ht="11.25" customHeight="1">
      <c r="A92" s="1087"/>
      <c r="B92" s="1087"/>
      <c r="C92" s="1087"/>
      <c r="D92" s="1081"/>
      <c r="E92" s="1091"/>
      <c r="F92" s="1747"/>
      <c r="G92" s="1748"/>
      <c r="H92" s="1748"/>
      <c r="I92" s="1685"/>
      <c r="J92" s="1685"/>
      <c r="K92" s="1749"/>
      <c r="L92" s="1685"/>
      <c r="M92" s="1748"/>
      <c r="N92" s="5679"/>
      <c r="O92" s="5680"/>
      <c r="P92" s="5682"/>
      <c r="Q92" s="5588"/>
      <c r="R92" s="5588"/>
      <c r="S92" s="5684"/>
      <c r="T92" s="5588"/>
      <c r="U92" s="5588"/>
      <c r="V92" s="5588"/>
      <c r="W92" s="5588"/>
      <c r="X92" s="5588"/>
      <c r="Y92" s="5588"/>
      <c r="Z92" s="1746"/>
      <c r="AA92" s="1714">
        <v>1</v>
      </c>
      <c r="AB92" s="1100"/>
      <c r="AC92" s="1090"/>
      <c r="AD92" s="1100">
        <f>AB92</f>
        <v>0</v>
      </c>
      <c r="AE92" s="662"/>
      <c r="AF92" s="1749"/>
      <c r="AG92" s="1679"/>
      <c r="AH92" s="1679"/>
      <c r="AI92" s="1749"/>
      <c r="AJ92" s="1679"/>
      <c r="AK92" s="1902"/>
      <c r="AL92" s="1903"/>
      <c r="AM92" s="1741"/>
      <c r="AN92" s="1741"/>
      <c r="AO92" s="1741"/>
      <c r="AP92" s="1741"/>
      <c r="AQ92" s="1741"/>
      <c r="AR92" s="1741"/>
      <c r="AS92" s="1741"/>
      <c r="AT92" s="1741"/>
      <c r="AU92" s="1741"/>
      <c r="AV92" s="1741"/>
      <c r="AW92" s="1741"/>
      <c r="AX92" s="1741"/>
      <c r="AY92" s="1741"/>
      <c r="AZ92" s="1741"/>
      <c r="BA92" s="1741"/>
      <c r="BB92" s="1741"/>
      <c r="BC92" s="1741"/>
      <c r="BD92" s="1741"/>
      <c r="BE92" s="1741"/>
      <c r="BF92" s="1741"/>
    </row>
    <row r="93" spans="1:58" s="4267" customFormat="1" ht="11.25" customHeight="1">
      <c r="A93" s="1087"/>
      <c r="B93" s="1087"/>
      <c r="C93" s="1087"/>
      <c r="D93" s="1081"/>
      <c r="E93" s="1091"/>
      <c r="F93" s="1747"/>
      <c r="G93" s="1748"/>
      <c r="H93" s="1748"/>
      <c r="I93" s="1686"/>
      <c r="J93" s="1686"/>
      <c r="K93" s="1749"/>
      <c r="L93" s="1686"/>
      <c r="M93" s="1748"/>
      <c r="N93" s="5679"/>
      <c r="O93" s="5680"/>
      <c r="P93" s="5683"/>
      <c r="Q93" s="5588"/>
      <c r="R93" s="5588"/>
      <c r="S93" s="5684"/>
      <c r="T93" s="5588"/>
      <c r="U93" s="5588"/>
      <c r="V93" s="5588"/>
      <c r="W93" s="5588"/>
      <c r="X93" s="5588"/>
      <c r="Y93" s="5588"/>
      <c r="Z93" s="1096"/>
      <c r="AA93" s="1097"/>
      <c r="AB93" s="1162" t="s">
        <v>2022</v>
      </c>
      <c r="AC93" s="1101"/>
      <c r="AD93" s="1101"/>
      <c r="AE93" s="1101"/>
      <c r="AF93" s="1751"/>
      <c r="AG93" s="1679"/>
      <c r="AH93" s="1679"/>
      <c r="AI93" s="1751"/>
      <c r="AJ93" s="1679"/>
      <c r="AK93" s="1902"/>
      <c r="AL93" s="1903"/>
      <c r="AM93" s="1741"/>
      <c r="AN93" s="1741"/>
      <c r="AO93" s="1741"/>
      <c r="AP93" s="1741"/>
      <c r="AQ93" s="1741"/>
      <c r="AR93" s="1741"/>
      <c r="AS93" s="1741"/>
      <c r="AT93" s="1741"/>
      <c r="AU93" s="1741"/>
      <c r="AV93" s="1741"/>
      <c r="AW93" s="1741"/>
      <c r="AX93" s="1741"/>
      <c r="AY93" s="1741"/>
      <c r="AZ93" s="1741"/>
      <c r="BA93" s="1741"/>
      <c r="BB93" s="1741"/>
      <c r="BC93" s="1741"/>
      <c r="BD93" s="1741"/>
      <c r="BE93" s="1741"/>
      <c r="BF93" s="1741"/>
    </row>
    <row r="95" spans="1:58" s="5280" customFormat="1" ht="11.25" customHeight="1">
      <c r="A95" s="1735" t="s">
        <v>2023</v>
      </c>
    </row>
    <row r="97" spans="1:184" s="4267" customFormat="1" ht="11.25" customHeight="1">
      <c r="A97" s="1087"/>
      <c r="B97" s="1087"/>
      <c r="C97" s="1087"/>
      <c r="D97" s="1081"/>
      <c r="E97" s="1091"/>
      <c r="F97" s="1748"/>
      <c r="G97" s="1748"/>
      <c r="H97" s="1748"/>
      <c r="I97" s="1748"/>
      <c r="J97" s="1748"/>
      <c r="K97" s="1748"/>
      <c r="L97" s="1748"/>
      <c r="M97" s="1748"/>
      <c r="N97" s="1748"/>
      <c r="O97" s="1748"/>
      <c r="P97" s="1748"/>
      <c r="Q97" s="1748"/>
      <c r="R97" s="1748"/>
      <c r="S97" s="1748"/>
      <c r="T97" s="1748"/>
      <c r="U97" s="1748"/>
      <c r="V97" s="1748"/>
      <c r="W97" s="1748"/>
      <c r="X97" s="1748"/>
      <c r="Y97" s="1748"/>
      <c r="Z97" s="1752"/>
      <c r="AA97" s="1734">
        <v>1</v>
      </c>
      <c r="AB97" s="1100"/>
      <c r="AC97" s="1090"/>
      <c r="AD97" s="1100">
        <f>AB97</f>
        <v>0</v>
      </c>
      <c r="AE97" s="1090"/>
      <c r="AF97" s="1749"/>
      <c r="AG97" s="1679"/>
      <c r="AH97" s="1679"/>
      <c r="AI97" s="1749"/>
      <c r="AJ97" s="1679"/>
      <c r="AK97" s="1902"/>
      <c r="AL97" s="1903"/>
      <c r="AM97" s="1741"/>
      <c r="AN97" s="1741"/>
      <c r="AO97" s="1741"/>
      <c r="AP97" s="1741"/>
      <c r="AQ97" s="1741"/>
      <c r="AR97" s="1741"/>
      <c r="AS97" s="1741"/>
      <c r="AT97" s="1741"/>
      <c r="AU97" s="1741"/>
      <c r="AV97" s="1741"/>
      <c r="AW97" s="1741"/>
      <c r="AX97" s="1741"/>
      <c r="AY97" s="1741"/>
      <c r="AZ97" s="1741"/>
      <c r="BA97" s="1741"/>
      <c r="BB97" s="1741"/>
      <c r="BC97" s="1741"/>
      <c r="BD97" s="1741"/>
      <c r="BE97" s="1741"/>
      <c r="BF97" s="1741"/>
    </row>
    <row r="99" spans="1:184" s="5280" customFormat="1" ht="11.25" customHeight="1">
      <c r="A99" s="1735" t="s">
        <v>2024</v>
      </c>
    </row>
    <row r="101" spans="1:184" s="4267" customFormat="1" ht="11.25" customHeight="1">
      <c r="A101" s="1087"/>
      <c r="B101" s="1087"/>
      <c r="C101" s="1087"/>
      <c r="D101" s="1081"/>
      <c r="E101" s="1091"/>
      <c r="F101" s="1747"/>
      <c r="G101" s="1748"/>
      <c r="H101" s="5624" t="s">
        <v>136</v>
      </c>
      <c r="I101" s="5728"/>
      <c r="J101" s="5659"/>
      <c r="K101" s="5726"/>
      <c r="L101" s="5338" t="s">
        <v>19</v>
      </c>
      <c r="M101" s="5339"/>
      <c r="N101" s="1901"/>
      <c r="O101" s="1098" t="s">
        <v>469</v>
      </c>
      <c r="P101" s="1099"/>
      <c r="Q101" s="1099"/>
      <c r="R101" s="1099"/>
      <c r="S101" s="1099"/>
      <c r="T101" s="1099"/>
      <c r="U101" s="1099"/>
      <c r="V101" s="1099"/>
      <c r="W101" s="1099"/>
      <c r="X101" s="1099"/>
      <c r="Y101" s="1099"/>
      <c r="Z101" s="1099"/>
      <c r="AA101" s="1099"/>
      <c r="AB101" s="1099"/>
      <c r="AC101" s="1099"/>
      <c r="AD101" s="1099"/>
      <c r="AE101" s="1099"/>
      <c r="AF101" s="5729"/>
      <c r="AG101" s="5730"/>
      <c r="AH101" s="5730"/>
      <c r="AI101" s="5729"/>
      <c r="AJ101" s="5730"/>
      <c r="AK101" s="5730"/>
      <c r="AL101" s="1903"/>
      <c r="AM101" s="1741"/>
      <c r="AN101" s="1741"/>
      <c r="AO101" s="1741"/>
      <c r="AP101" s="1741"/>
      <c r="AQ101" s="1741"/>
      <c r="AR101" s="1741"/>
      <c r="AS101" s="1741"/>
      <c r="AT101" s="1741"/>
      <c r="AU101" s="1741"/>
      <c r="AV101" s="1741"/>
      <c r="AW101" s="1741"/>
      <c r="AX101" s="1741"/>
      <c r="AY101" s="1741"/>
      <c r="AZ101" s="1741"/>
      <c r="BA101" s="1741"/>
      <c r="BB101" s="1741"/>
      <c r="BC101" s="1741"/>
      <c r="BD101" s="1741"/>
      <c r="BE101" s="1741"/>
      <c r="BF101" s="1741"/>
    </row>
    <row r="102" spans="1:184" s="4267" customFormat="1" ht="11.25" customHeight="1">
      <c r="A102" s="1087"/>
      <c r="B102" s="1087"/>
      <c r="C102" s="1087"/>
      <c r="D102" s="1081"/>
      <c r="E102" s="1091"/>
      <c r="F102" s="1747"/>
      <c r="G102" s="1748"/>
      <c r="H102" s="5624"/>
      <c r="I102" s="5728"/>
      <c r="J102" s="5659"/>
      <c r="K102" s="5726"/>
      <c r="L102" s="5338"/>
      <c r="M102" s="5339"/>
      <c r="N102" s="5679"/>
      <c r="O102" s="5731">
        <v>1</v>
      </c>
      <c r="P102" s="5681" t="s">
        <v>19</v>
      </c>
      <c r="Q102" s="5588" t="s">
        <v>28</v>
      </c>
      <c r="R102" s="5588" t="s">
        <v>28</v>
      </c>
      <c r="S102" s="5588" t="s">
        <v>28</v>
      </c>
      <c r="T102" s="5588" t="s">
        <v>28</v>
      </c>
      <c r="U102" s="5588" t="s">
        <v>28</v>
      </c>
      <c r="V102" s="5588" t="s">
        <v>28</v>
      </c>
      <c r="W102" s="5588" t="s">
        <v>28</v>
      </c>
      <c r="X102" s="5588" t="s">
        <v>28</v>
      </c>
      <c r="Y102" s="5588"/>
      <c r="Z102" s="1096"/>
      <c r="AA102" s="1097"/>
      <c r="AB102" s="1097"/>
      <c r="AC102" s="1101"/>
      <c r="AD102" s="1101"/>
      <c r="AE102" s="1102"/>
      <c r="AF102" s="5729"/>
      <c r="AG102" s="5730"/>
      <c r="AH102" s="5730"/>
      <c r="AI102" s="5729"/>
      <c r="AJ102" s="5730"/>
      <c r="AK102" s="5730"/>
      <c r="AL102" s="1903"/>
      <c r="AM102" s="1741"/>
      <c r="AN102" s="1741"/>
      <c r="AO102" s="1741"/>
      <c r="AP102" s="1741"/>
      <c r="AQ102" s="1741"/>
      <c r="AR102" s="1741"/>
      <c r="AS102" s="1741"/>
      <c r="AT102" s="1741"/>
      <c r="AU102" s="1741"/>
      <c r="AV102" s="1741"/>
      <c r="AW102" s="1741"/>
      <c r="AX102" s="1741"/>
      <c r="AY102" s="1741"/>
      <c r="AZ102" s="1741"/>
      <c r="BA102" s="1741"/>
      <c r="BB102" s="1741"/>
      <c r="BC102" s="1741"/>
      <c r="BD102" s="1741"/>
      <c r="BE102" s="1741"/>
      <c r="BF102" s="1741"/>
    </row>
    <row r="103" spans="1:184" s="4267" customFormat="1" ht="11.25" customHeight="1">
      <c r="A103" s="1087"/>
      <c r="B103" s="1087"/>
      <c r="C103" s="1087"/>
      <c r="D103" s="1081"/>
      <c r="E103" s="1091"/>
      <c r="F103" s="1747"/>
      <c r="G103" s="1748"/>
      <c r="H103" s="5624"/>
      <c r="I103" s="5728"/>
      <c r="J103" s="5659"/>
      <c r="K103" s="5726"/>
      <c r="L103" s="5338"/>
      <c r="M103" s="5339"/>
      <c r="N103" s="5679"/>
      <c r="O103" s="5731"/>
      <c r="P103" s="5682"/>
      <c r="Q103" s="5588"/>
      <c r="R103" s="5588"/>
      <c r="S103" s="5684"/>
      <c r="T103" s="5588"/>
      <c r="U103" s="5588"/>
      <c r="V103" s="5588"/>
      <c r="W103" s="5588"/>
      <c r="X103" s="5588"/>
      <c r="Y103" s="5588"/>
      <c r="Z103" s="1746"/>
      <c r="AA103" s="1714">
        <v>1</v>
      </c>
      <c r="AB103" s="1100"/>
      <c r="AC103" s="1090"/>
      <c r="AD103" s="1100">
        <f>AB103</f>
        <v>0</v>
      </c>
      <c r="AE103" s="1090"/>
      <c r="AF103" s="5729"/>
      <c r="AG103" s="5730"/>
      <c r="AH103" s="5730"/>
      <c r="AI103" s="5729"/>
      <c r="AJ103" s="5730"/>
      <c r="AK103" s="5730"/>
      <c r="AL103" s="1903"/>
      <c r="AM103" s="1741"/>
      <c r="AN103" s="1741"/>
      <c r="AO103" s="1741"/>
      <c r="AP103" s="1741"/>
      <c r="AQ103" s="1741"/>
      <c r="AR103" s="1741"/>
      <c r="AS103" s="1741"/>
      <c r="AT103" s="1741"/>
      <c r="AU103" s="1741"/>
      <c r="AV103" s="1741"/>
      <c r="AW103" s="1741"/>
      <c r="AX103" s="1741"/>
      <c r="AY103" s="1741"/>
      <c r="AZ103" s="1741"/>
      <c r="BA103" s="1741"/>
      <c r="BB103" s="1741"/>
      <c r="BC103" s="1741"/>
      <c r="BD103" s="1741"/>
      <c r="BE103" s="1741"/>
      <c r="BF103" s="1741"/>
    </row>
    <row r="104" spans="1:184" s="4267" customFormat="1" ht="11.25" customHeight="1">
      <c r="A104" s="1087"/>
      <c r="B104" s="1087"/>
      <c r="C104" s="1087"/>
      <c r="D104" s="1081"/>
      <c r="E104" s="1091"/>
      <c r="F104" s="1747"/>
      <c r="G104" s="1748"/>
      <c r="H104" s="5624"/>
      <c r="I104" s="5728"/>
      <c r="J104" s="5659"/>
      <c r="K104" s="5726"/>
      <c r="L104" s="5338"/>
      <c r="M104" s="5339"/>
      <c r="N104" s="5679"/>
      <c r="O104" s="5731"/>
      <c r="P104" s="5683"/>
      <c r="Q104" s="5588"/>
      <c r="R104" s="5588"/>
      <c r="S104" s="5684"/>
      <c r="T104" s="5588"/>
      <c r="U104" s="5588"/>
      <c r="V104" s="5588"/>
      <c r="W104" s="5588"/>
      <c r="X104" s="5588"/>
      <c r="Y104" s="5588"/>
      <c r="Z104" s="1096"/>
      <c r="AA104" s="1097"/>
      <c r="AB104" s="1162" t="s">
        <v>2022</v>
      </c>
      <c r="AC104" s="1101"/>
      <c r="AD104" s="1101"/>
      <c r="AE104" s="1103"/>
      <c r="AF104" s="5729"/>
      <c r="AG104" s="5730"/>
      <c r="AH104" s="5730"/>
      <c r="AI104" s="5729"/>
      <c r="AJ104" s="5730"/>
      <c r="AK104" s="5730"/>
      <c r="AL104" s="1903"/>
      <c r="AM104" s="1741"/>
      <c r="AN104" s="1741"/>
      <c r="AO104" s="1741"/>
      <c r="AP104" s="1741"/>
      <c r="AQ104" s="1741"/>
      <c r="AR104" s="1741"/>
      <c r="AS104" s="1741"/>
      <c r="AT104" s="1741"/>
      <c r="AU104" s="1741"/>
      <c r="AV104" s="1741"/>
      <c r="AW104" s="1741"/>
      <c r="AX104" s="1741"/>
      <c r="AY104" s="1741"/>
      <c r="AZ104" s="1741"/>
      <c r="BA104" s="1741"/>
      <c r="BB104" s="1741"/>
      <c r="BC104" s="1741"/>
      <c r="BD104" s="1741"/>
      <c r="BE104" s="1741"/>
      <c r="BF104" s="1741"/>
    </row>
    <row r="105" spans="1:184" s="4267" customFormat="1" ht="11.25" customHeight="1">
      <c r="A105" s="1087"/>
      <c r="B105" s="1087"/>
      <c r="C105" s="1087"/>
      <c r="D105" s="1081"/>
      <c r="E105" s="1091"/>
      <c r="F105" s="1747"/>
      <c r="G105" s="1748"/>
      <c r="H105" s="5624"/>
      <c r="I105" s="5728"/>
      <c r="J105" s="5659"/>
      <c r="K105" s="5726"/>
      <c r="L105" s="5338"/>
      <c r="M105" s="5339"/>
      <c r="N105" s="1096"/>
      <c r="O105" s="1097"/>
      <c r="P105" s="1089" t="s">
        <v>2025</v>
      </c>
      <c r="Q105" s="1097"/>
      <c r="R105" s="1097"/>
      <c r="S105" s="1097"/>
      <c r="T105" s="1097"/>
      <c r="U105" s="1097"/>
      <c r="V105" s="1097"/>
      <c r="W105" s="1097"/>
      <c r="X105" s="1097"/>
      <c r="Y105" s="1097"/>
      <c r="Z105" s="1097"/>
      <c r="AA105" s="1097"/>
      <c r="AB105" s="1097"/>
      <c r="AC105" s="1097"/>
      <c r="AD105" s="1097"/>
      <c r="AE105" s="1104"/>
      <c r="AF105" s="5729"/>
      <c r="AG105" s="5730"/>
      <c r="AH105" s="5730"/>
      <c r="AI105" s="5729"/>
      <c r="AJ105" s="5730"/>
      <c r="AK105" s="5730"/>
      <c r="AL105" s="1903"/>
      <c r="AM105" s="1741"/>
      <c r="AN105" s="1741"/>
      <c r="AO105" s="1741"/>
      <c r="AP105" s="1741"/>
      <c r="AQ105" s="1741"/>
      <c r="AR105" s="1741"/>
      <c r="AS105" s="1741"/>
      <c r="AT105" s="1741"/>
      <c r="AU105" s="1741"/>
      <c r="AV105" s="1741"/>
      <c r="AW105" s="1741"/>
      <c r="AX105" s="1741"/>
      <c r="AY105" s="1741"/>
      <c r="AZ105" s="1741"/>
      <c r="BA105" s="1741"/>
      <c r="BB105" s="1741"/>
      <c r="BC105" s="1741"/>
      <c r="BD105" s="1741"/>
      <c r="BE105" s="1741"/>
      <c r="BF105" s="1741"/>
    </row>
    <row r="107" spans="1:184" s="5280" customFormat="1" ht="11.25" customHeight="1">
      <c r="A107" s="1735" t="s">
        <v>2026</v>
      </c>
    </row>
    <row r="108" spans="1:184" ht="17.25" customHeight="1"/>
    <row r="109" spans="1:184" s="5262" customFormat="1" ht="21" customHeight="1">
      <c r="A109" s="1088"/>
      <c r="B109" s="867"/>
      <c r="D109" s="851"/>
      <c r="E109" s="866" t="s">
        <v>28</v>
      </c>
      <c r="F109" s="1042" t="e">
        <f>INDEX(IP_MAIN_LIST_NAME_IP,MATCH(A109,IP_MAIN_LIST_IP_ID,0))&amp;" ("&amp;INDEX(IP_MAIN_START_DATE,MATCH(A109,IP_MAIN_LIST_IP_ID,0))&amp;"-"&amp;INDEX(IP_MAIN_END_DATE,MATCH(A109,IP_MAIN_LIST_IP_ID,0))&amp;")"</f>
        <v>#N/A</v>
      </c>
      <c r="G109" s="1124"/>
      <c r="H109" s="1125"/>
      <c r="I109" s="1125"/>
      <c r="J109" s="1125"/>
      <c r="K109" s="1125"/>
      <c r="L109" s="1125"/>
      <c r="M109" s="1125"/>
      <c r="N109" s="1125"/>
      <c r="O109" s="1124"/>
      <c r="P109" s="1124"/>
      <c r="Q109" s="1124"/>
      <c r="R109" s="1124"/>
      <c r="S109" s="1124"/>
      <c r="T109" s="1124"/>
      <c r="U109" s="1126"/>
      <c r="V109" s="1126"/>
      <c r="W109" s="1126"/>
      <c r="X109" s="1126"/>
      <c r="Y109" s="1126"/>
      <c r="Z109" s="1126"/>
      <c r="AA109" s="1126"/>
      <c r="AB109" s="1124"/>
      <c r="AC109" s="1125"/>
      <c r="AD109" s="1125"/>
      <c r="AE109" s="1125"/>
      <c r="AF109" s="1125"/>
      <c r="AG109" s="1125"/>
      <c r="AH109" s="1125"/>
      <c r="AI109" s="1125"/>
      <c r="AJ109" s="1125"/>
      <c r="AK109" s="1125"/>
      <c r="AL109" s="1125"/>
      <c r="AM109" s="1125"/>
      <c r="AN109" s="1125"/>
      <c r="AO109" s="1125"/>
      <c r="AP109" s="1125"/>
      <c r="AQ109" s="1125"/>
      <c r="AR109" s="1125"/>
      <c r="AS109" s="1125"/>
      <c r="AT109" s="1125"/>
      <c r="AU109" s="1125"/>
      <c r="AV109" s="1125"/>
      <c r="AW109" s="1125"/>
      <c r="AX109" s="1125"/>
      <c r="AY109" s="1125"/>
      <c r="AZ109" s="1125"/>
      <c r="BA109" s="1125"/>
      <c r="BB109" s="1125"/>
      <c r="BC109" s="1125"/>
      <c r="BD109" s="1125"/>
      <c r="BE109" s="1125"/>
      <c r="BF109" s="1125"/>
      <c r="BG109" s="1125"/>
      <c r="BH109" s="1125"/>
      <c r="BI109" s="1125"/>
      <c r="BJ109" s="1125"/>
      <c r="BK109" s="1125"/>
      <c r="BL109" s="1125"/>
      <c r="BM109" s="1125"/>
      <c r="BN109" s="1125"/>
      <c r="BO109" s="1125"/>
      <c r="BP109" s="1125"/>
      <c r="BQ109" s="1125"/>
      <c r="BR109" s="1125"/>
      <c r="BS109" s="1125"/>
      <c r="BT109" s="1125"/>
      <c r="BU109" s="1125"/>
      <c r="BV109" s="1125"/>
      <c r="BW109" s="1125"/>
      <c r="BX109" s="1125"/>
      <c r="BY109" s="1125"/>
      <c r="BZ109" s="1125"/>
      <c r="CA109" s="1125"/>
      <c r="CB109" s="1125"/>
      <c r="CC109" s="1125"/>
      <c r="CD109" s="1125"/>
      <c r="CE109" s="1125"/>
      <c r="CF109" s="1125"/>
      <c r="CG109" s="1125"/>
      <c r="CH109" s="1125"/>
      <c r="CI109" s="1125"/>
      <c r="CJ109" s="1125"/>
      <c r="CK109" s="1125"/>
      <c r="CL109" s="1127"/>
      <c r="CM109" s="1127"/>
      <c r="CN109" s="1127"/>
      <c r="CO109" s="1127"/>
      <c r="CP109" s="1127"/>
      <c r="CQ109" s="1127"/>
      <c r="CR109" s="1127"/>
      <c r="CS109" s="1127"/>
      <c r="CT109" s="1127"/>
      <c r="CU109" s="1127"/>
      <c r="CV109" s="1127"/>
      <c r="CW109" s="1127"/>
      <c r="CX109" s="1127"/>
      <c r="CY109" s="1127"/>
      <c r="CZ109" s="1127"/>
      <c r="DA109" s="1127"/>
      <c r="DB109" s="1127"/>
      <c r="DC109" s="1127"/>
      <c r="DD109" s="1127"/>
      <c r="DE109" s="1127"/>
      <c r="DF109" s="1127"/>
      <c r="DG109" s="1127"/>
      <c r="DH109" s="1127"/>
      <c r="DI109" s="1127"/>
      <c r="DJ109" s="1127"/>
      <c r="DK109" s="1127"/>
      <c r="DL109" s="1127"/>
      <c r="DM109" s="1127"/>
      <c r="DN109" s="1127"/>
      <c r="DO109" s="1127"/>
      <c r="DP109" s="1127"/>
      <c r="DQ109" s="1127"/>
      <c r="DR109" s="1127"/>
      <c r="DS109" s="1127"/>
      <c r="DT109" s="1127"/>
      <c r="DU109" s="1127"/>
      <c r="DV109" s="1127"/>
      <c r="DW109" s="1127"/>
      <c r="DX109" s="1127"/>
      <c r="DY109" s="1127"/>
      <c r="DZ109" s="1127"/>
      <c r="EA109" s="1127"/>
      <c r="EB109" s="1127"/>
      <c r="EC109" s="1127"/>
      <c r="ED109" s="1127"/>
      <c r="EE109" s="1127"/>
      <c r="EF109" s="1127"/>
      <c r="EG109" s="1127"/>
      <c r="EH109" s="1127"/>
      <c r="EI109" s="1127"/>
      <c r="EJ109" s="1127"/>
      <c r="EK109" s="1127"/>
      <c r="EL109" s="1127"/>
      <c r="EM109" s="1127"/>
      <c r="EN109" s="1127"/>
      <c r="EO109" s="1127"/>
      <c r="EP109" s="1127"/>
      <c r="EQ109" s="1127"/>
      <c r="ER109" s="1127"/>
      <c r="ES109" s="1127"/>
      <c r="ET109" s="1127"/>
      <c r="EU109" s="1127"/>
      <c r="EV109" s="1127"/>
      <c r="EW109" s="1127"/>
      <c r="EX109" s="1127"/>
      <c r="EY109" s="1127"/>
      <c r="EZ109" s="1127"/>
      <c r="FA109" s="1127"/>
      <c r="FB109" s="1127"/>
      <c r="FC109" s="1127"/>
      <c r="FD109" s="1127"/>
      <c r="FE109" s="1127"/>
      <c r="FF109" s="1127"/>
      <c r="FG109" s="1127"/>
      <c r="FH109" s="1127"/>
      <c r="FI109" s="1127"/>
      <c r="FJ109" s="1127"/>
      <c r="FK109" s="1127"/>
      <c r="FL109" s="1127"/>
      <c r="FM109" s="1127"/>
      <c r="FN109" s="1127"/>
      <c r="FO109" s="1127"/>
      <c r="FP109" s="1127"/>
      <c r="FQ109" s="1127"/>
      <c r="FR109" s="1127"/>
      <c r="FS109" s="1127"/>
      <c r="FT109" s="1127"/>
      <c r="FU109" s="1127"/>
      <c r="FV109" s="1128"/>
      <c r="FW109" s="1122"/>
      <c r="FX109" s="1123"/>
    </row>
    <row r="110" spans="1:184" s="5262" customFormat="1" ht="24.75" customHeight="1">
      <c r="B110" s="850"/>
      <c r="C110" s="851"/>
      <c r="D110" s="851"/>
      <c r="E110" s="1753"/>
      <c r="F110" s="1129">
        <v>1</v>
      </c>
      <c r="G110" s="1130"/>
      <c r="H110" s="1131"/>
      <c r="I110" s="1897"/>
      <c r="J110" s="1132"/>
      <c r="K110" s="1132"/>
      <c r="L110" s="1132"/>
      <c r="M110" s="1132"/>
      <c r="N110" s="1132"/>
      <c r="O110" s="1133"/>
      <c r="P110" s="1133"/>
      <c r="Q110" s="1133"/>
      <c r="R110" s="1133"/>
      <c r="S110" s="1133"/>
      <c r="T110" s="1133"/>
      <c r="U110" s="1133"/>
      <c r="V110" s="1133"/>
      <c r="W110" s="1133"/>
      <c r="X110" s="1133"/>
      <c r="Y110" s="1133"/>
      <c r="Z110" s="1133"/>
      <c r="AA110" s="1133"/>
      <c r="AB110" s="1133"/>
      <c r="AC110" s="1132"/>
      <c r="AD110" s="1132"/>
      <c r="AE110" s="1132"/>
      <c r="AF110" s="1132"/>
      <c r="AG110" s="1132"/>
      <c r="AH110" s="1132"/>
      <c r="AI110" s="1132"/>
      <c r="AJ110" s="1132"/>
      <c r="AK110" s="1132"/>
      <c r="AL110" s="1132"/>
      <c r="AM110" s="1132"/>
      <c r="AN110" s="1132"/>
      <c r="AO110" s="1132"/>
      <c r="AP110" s="1132"/>
      <c r="AQ110" s="1132"/>
      <c r="AR110" s="1132"/>
      <c r="AS110" s="1132"/>
      <c r="AT110" s="1132"/>
      <c r="AU110" s="1132"/>
      <c r="AV110" s="1132"/>
      <c r="AW110" s="1132"/>
      <c r="AX110" s="1132"/>
      <c r="AY110" s="1132"/>
      <c r="AZ110" s="1132"/>
      <c r="BA110" s="1132"/>
      <c r="BB110" s="1132"/>
      <c r="BC110" s="1132"/>
      <c r="BD110" s="1132"/>
      <c r="BE110" s="1132"/>
      <c r="BF110" s="1132"/>
      <c r="BG110" s="1132"/>
      <c r="BH110" s="1132"/>
      <c r="BI110" s="1132"/>
      <c r="BJ110" s="1132"/>
      <c r="BK110" s="1132"/>
      <c r="BL110" s="1132"/>
      <c r="BM110" s="1132"/>
      <c r="BN110" s="1132"/>
      <c r="BO110" s="1132"/>
      <c r="BP110" s="1132"/>
      <c r="BQ110" s="1132"/>
      <c r="BR110" s="1132"/>
      <c r="BS110" s="1132"/>
      <c r="BT110" s="1133"/>
      <c r="BU110" s="1133"/>
      <c r="BV110" s="1133"/>
      <c r="BW110" s="1133"/>
      <c r="BX110" s="1133"/>
      <c r="BY110" s="1133"/>
      <c r="BZ110" s="1133"/>
      <c r="CA110" s="1133"/>
      <c r="CB110" s="1133"/>
      <c r="CC110" s="1133"/>
      <c r="CD110" s="1133"/>
      <c r="CE110" s="1133"/>
      <c r="CF110" s="1133"/>
      <c r="CG110" s="1133"/>
      <c r="CH110" s="1133"/>
      <c r="CI110" s="1133"/>
      <c r="CJ110" s="1133"/>
      <c r="CK110" s="1133"/>
      <c r="CL110" s="1132"/>
      <c r="CM110" s="1132"/>
      <c r="CN110" s="1132"/>
      <c r="CO110" s="1132"/>
      <c r="CP110" s="1132"/>
      <c r="CQ110" s="1132"/>
      <c r="CR110" s="1132"/>
      <c r="CS110" s="1132"/>
      <c r="CT110" s="1132"/>
      <c r="CU110" s="1132"/>
      <c r="CV110" s="1132"/>
      <c r="CW110" s="1132"/>
      <c r="CX110" s="1132"/>
      <c r="CY110" s="1133"/>
      <c r="CZ110" s="1133"/>
      <c r="DA110" s="1133"/>
      <c r="DB110" s="1133"/>
      <c r="DC110" s="1133"/>
      <c r="DD110" s="1133"/>
      <c r="DE110" s="1133"/>
      <c r="DF110" s="1133"/>
      <c r="DG110" s="1133"/>
      <c r="DH110" s="1133"/>
      <c r="DI110" s="1133"/>
      <c r="DJ110" s="1133"/>
      <c r="DK110" s="1132"/>
      <c r="DL110" s="1132"/>
      <c r="DM110" s="1132"/>
      <c r="DN110" s="1132"/>
      <c r="DO110" s="1132"/>
      <c r="DP110" s="1132"/>
      <c r="DQ110" s="1132"/>
      <c r="DR110" s="1132"/>
      <c r="DS110" s="1132"/>
      <c r="DT110" s="1132"/>
      <c r="DU110" s="1132"/>
      <c r="DV110" s="1132"/>
      <c r="DW110" s="1132"/>
      <c r="DX110" s="1132"/>
      <c r="DY110" s="1132"/>
      <c r="DZ110" s="1132"/>
      <c r="EA110" s="1132"/>
      <c r="EB110" s="1132"/>
      <c r="EC110" s="1132"/>
      <c r="ED110" s="1132"/>
      <c r="EE110" s="1132"/>
      <c r="EF110" s="1132"/>
      <c r="EG110" s="1132"/>
      <c r="EH110" s="1132"/>
      <c r="EI110" s="1132"/>
      <c r="EJ110" s="1132"/>
      <c r="EK110" s="1132"/>
      <c r="EL110" s="1132"/>
      <c r="EM110" s="1132"/>
      <c r="EN110" s="1132"/>
      <c r="EO110" s="1132"/>
      <c r="EP110" s="1132"/>
      <c r="EQ110" s="1132"/>
      <c r="ER110" s="1132"/>
      <c r="ES110" s="1132"/>
      <c r="ET110" s="1132"/>
      <c r="EU110" s="1132"/>
      <c r="EV110" s="1132"/>
      <c r="EW110" s="1132"/>
      <c r="EX110" s="1132"/>
      <c r="EY110" s="1132"/>
      <c r="EZ110" s="1132"/>
      <c r="FA110" s="1132"/>
      <c r="FB110" s="1132"/>
      <c r="FC110" s="1132"/>
      <c r="FD110" s="1132"/>
      <c r="FE110" s="1132"/>
      <c r="FF110" s="1132"/>
      <c r="FG110" s="1132"/>
      <c r="FH110" s="1132"/>
      <c r="FI110" s="1132"/>
      <c r="FJ110" s="1132"/>
      <c r="FK110" s="1132"/>
      <c r="FL110" s="1132"/>
      <c r="FM110" s="1132"/>
      <c r="FN110" s="1132"/>
      <c r="FO110" s="1132"/>
      <c r="FP110" s="1132"/>
      <c r="FQ110" s="1132"/>
      <c r="FR110" s="1132"/>
      <c r="FS110" s="1132"/>
      <c r="FT110" s="1132"/>
      <c r="FU110" s="1132"/>
      <c r="FV110" s="1132"/>
      <c r="FW110" s="1132"/>
      <c r="FX110" s="1123"/>
    </row>
    <row r="111" spans="1:184" s="5262" customFormat="1" ht="12" customHeight="1">
      <c r="A111" s="851"/>
      <c r="B111" s="850"/>
      <c r="C111" s="851"/>
      <c r="D111" s="851"/>
      <c r="E111" s="851"/>
      <c r="F111" s="1134"/>
      <c r="G111" s="1720" t="s">
        <v>2027</v>
      </c>
      <c r="H111" s="1135"/>
      <c r="I111" s="1135"/>
      <c r="J111" s="1135"/>
      <c r="K111" s="1135"/>
      <c r="L111" s="1135"/>
      <c r="M111" s="1135"/>
      <c r="N111" s="1135"/>
      <c r="O111" s="1135"/>
      <c r="P111" s="1135"/>
      <c r="Q111" s="1135"/>
      <c r="R111" s="1135"/>
      <c r="S111" s="1135"/>
      <c r="T111" s="1135"/>
      <c r="U111" s="1135"/>
      <c r="V111" s="1135"/>
      <c r="W111" s="1135"/>
      <c r="X111" s="1135"/>
      <c r="Y111" s="1135"/>
      <c r="Z111" s="1135"/>
      <c r="AA111" s="1135"/>
      <c r="AB111" s="1135"/>
      <c r="AC111" s="1135"/>
      <c r="AD111" s="1135"/>
      <c r="AE111" s="1135"/>
      <c r="AF111" s="1135"/>
      <c r="AG111" s="1135"/>
      <c r="AH111" s="1135"/>
      <c r="AI111" s="1135"/>
      <c r="AJ111" s="1135"/>
      <c r="AK111" s="1135"/>
      <c r="AL111" s="1135"/>
      <c r="AM111" s="1135"/>
      <c r="AN111" s="1135"/>
      <c r="AO111" s="1135"/>
      <c r="AP111" s="1135"/>
      <c r="AQ111" s="1135"/>
      <c r="AR111" s="1135"/>
      <c r="AS111" s="1135"/>
      <c r="AT111" s="1135"/>
      <c r="AU111" s="1135"/>
      <c r="AV111" s="1135"/>
      <c r="AW111" s="1135"/>
      <c r="AX111" s="1135"/>
      <c r="AY111" s="1135"/>
      <c r="AZ111" s="1135"/>
      <c r="BA111" s="1135"/>
      <c r="BB111" s="1135"/>
      <c r="BC111" s="1135"/>
      <c r="BD111" s="1135"/>
      <c r="BE111" s="1135"/>
      <c r="BF111" s="1135"/>
      <c r="BG111" s="1135"/>
      <c r="BH111" s="1135"/>
      <c r="BI111" s="1135"/>
      <c r="BJ111" s="1135"/>
      <c r="BK111" s="1135"/>
      <c r="BL111" s="1135"/>
      <c r="BM111" s="1135"/>
      <c r="BN111" s="1135"/>
      <c r="BO111" s="1135"/>
      <c r="BP111" s="1135"/>
      <c r="BQ111" s="1135"/>
      <c r="BR111" s="1135"/>
      <c r="BS111" s="1135"/>
      <c r="BT111" s="1135"/>
      <c r="BU111" s="1135"/>
      <c r="BV111" s="1135"/>
      <c r="BW111" s="1135"/>
      <c r="BX111" s="1135"/>
      <c r="BY111" s="1135"/>
      <c r="BZ111" s="1135"/>
      <c r="CA111" s="1135"/>
      <c r="CB111" s="1135"/>
      <c r="CC111" s="1135"/>
      <c r="CD111" s="1135"/>
      <c r="CE111" s="1135"/>
      <c r="CF111" s="1135"/>
      <c r="CG111" s="1135"/>
      <c r="CH111" s="1135"/>
      <c r="CI111" s="1135"/>
      <c r="CJ111" s="1135"/>
      <c r="CK111" s="1135"/>
      <c r="CL111" s="1135"/>
      <c r="CM111" s="1135"/>
      <c r="CN111" s="1135"/>
      <c r="CO111" s="1135"/>
      <c r="CP111" s="1135"/>
      <c r="CQ111" s="1135"/>
      <c r="CR111" s="1135"/>
      <c r="CS111" s="1135"/>
      <c r="CT111" s="1135"/>
      <c r="CU111" s="1135"/>
      <c r="CV111" s="1135"/>
      <c r="CW111" s="1135"/>
      <c r="CX111" s="1135"/>
      <c r="CY111" s="1135"/>
      <c r="CZ111" s="1135"/>
      <c r="DA111" s="1135"/>
      <c r="DB111" s="1135"/>
      <c r="DC111" s="1135"/>
      <c r="DD111" s="1135"/>
      <c r="DE111" s="1135"/>
      <c r="DF111" s="1135"/>
      <c r="DG111" s="1135"/>
      <c r="DH111" s="1135"/>
      <c r="DI111" s="1135"/>
      <c r="DJ111" s="1135"/>
      <c r="DK111" s="1135"/>
      <c r="DL111" s="1135"/>
      <c r="DM111" s="1135"/>
      <c r="DN111" s="1135"/>
      <c r="DO111" s="1135"/>
      <c r="DP111" s="1135"/>
      <c r="DQ111" s="1135"/>
      <c r="DR111" s="1135"/>
      <c r="DS111" s="1135"/>
      <c r="DT111" s="1135"/>
      <c r="DU111" s="1135"/>
      <c r="DV111" s="1135"/>
      <c r="DW111" s="1135"/>
      <c r="DX111" s="1135"/>
      <c r="DY111" s="1135"/>
      <c r="DZ111" s="1135"/>
      <c r="EA111" s="1135"/>
      <c r="EB111" s="1135"/>
      <c r="EC111" s="1135"/>
      <c r="ED111" s="1135"/>
      <c r="EE111" s="1135"/>
      <c r="EF111" s="1135"/>
      <c r="EG111" s="1135"/>
      <c r="EH111" s="1135"/>
      <c r="EI111" s="1135"/>
      <c r="EJ111" s="1135"/>
      <c r="EK111" s="1135"/>
      <c r="EL111" s="1135"/>
      <c r="EM111" s="1135"/>
      <c r="EN111" s="1135"/>
      <c r="EO111" s="1135"/>
      <c r="EP111" s="1135"/>
      <c r="EQ111" s="1135"/>
      <c r="ER111" s="1135"/>
      <c r="ES111" s="1135"/>
      <c r="ET111" s="1135"/>
      <c r="EU111" s="1135"/>
      <c r="EV111" s="1135"/>
      <c r="EW111" s="1135"/>
      <c r="EX111" s="1135"/>
      <c r="EY111" s="1135"/>
      <c r="EZ111" s="1135"/>
      <c r="FA111" s="1135"/>
      <c r="FB111" s="1135"/>
      <c r="FC111" s="1135"/>
      <c r="FD111" s="1135"/>
      <c r="FE111" s="1135"/>
      <c r="FF111" s="1135"/>
      <c r="FG111" s="1135"/>
      <c r="FH111" s="1135"/>
      <c r="FI111" s="1135"/>
      <c r="FJ111" s="1135"/>
      <c r="FK111" s="1135"/>
      <c r="FL111" s="1135"/>
      <c r="FM111" s="1135"/>
      <c r="FN111" s="1135"/>
      <c r="FO111" s="1135"/>
      <c r="FP111" s="1135"/>
      <c r="FQ111" s="1135"/>
      <c r="FR111" s="1135"/>
      <c r="FS111" s="1135"/>
      <c r="FT111" s="1135"/>
      <c r="FU111" s="1135"/>
      <c r="FV111" s="1135"/>
      <c r="FW111" s="1136"/>
      <c r="FX111" s="1137"/>
      <c r="FY111" s="868"/>
      <c r="FZ111" s="868"/>
      <c r="GA111" s="868"/>
      <c r="GB111" s="868"/>
    </row>
    <row r="113" spans="1:83" s="5280" customFormat="1" ht="11.25" customHeight="1">
      <c r="A113" s="1735" t="s">
        <v>2028</v>
      </c>
    </row>
    <row r="115" spans="1:83" s="4278" customFormat="1" ht="15" customHeight="1">
      <c r="A115" s="561"/>
      <c r="B115" s="562"/>
      <c r="C115" s="562"/>
      <c r="D115" s="5687" t="s">
        <v>136</v>
      </c>
      <c r="E115" s="5570" t="s">
        <v>141</v>
      </c>
      <c r="F115" s="5571"/>
      <c r="G115" s="5572"/>
      <c r="H115" s="5566" t="str">
        <f>IF(A115="","",INDEX(DIFFERENTIATION_UNMERGE_VD,MATCH(A115,DIFFERENTIATION_ID_DIFF,0)))</f>
        <v/>
      </c>
      <c r="I115" s="5566"/>
      <c r="J115" s="5566"/>
      <c r="K115" s="5566"/>
      <c r="L115" s="5566"/>
      <c r="M115" s="5566"/>
      <c r="N115" s="5566"/>
      <c r="O115" s="5566"/>
      <c r="P115" s="5566"/>
      <c r="Q115" s="5566"/>
      <c r="R115" s="5566"/>
      <c r="S115" s="657"/>
      <c r="T115" s="654"/>
      <c r="U115" s="563"/>
      <c r="V115" s="563"/>
      <c r="W115" s="564"/>
      <c r="X115" s="564"/>
      <c r="Y115" s="564"/>
      <c r="Z115" s="564"/>
      <c r="AA115" s="565"/>
      <c r="AB115" s="566"/>
      <c r="AC115" s="5569"/>
      <c r="AD115" s="567"/>
      <c r="AE115" s="568" t="s">
        <v>28</v>
      </c>
      <c r="AF115" s="568"/>
      <c r="AG115" s="569" t="s">
        <v>701</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4278" customFormat="1" ht="15" customHeight="1">
      <c r="A116" s="561"/>
      <c r="B116" s="562"/>
      <c r="C116" s="562"/>
      <c r="D116" s="5688"/>
      <c r="E116" s="5570" t="s">
        <v>656</v>
      </c>
      <c r="F116" s="5571"/>
      <c r="G116" s="5572"/>
      <c r="H116" s="5566" t="str">
        <f>IF(A115="","",INDEX(DIFFERENTIATION_UNMERGE_AREA,MATCH(A115,DIFFERENTIATION_ID_DIFF,0)))</f>
        <v/>
      </c>
      <c r="I116" s="5566"/>
      <c r="J116" s="5566"/>
      <c r="K116" s="5566"/>
      <c r="L116" s="5566"/>
      <c r="M116" s="5566"/>
      <c r="N116" s="5566"/>
      <c r="O116" s="5566"/>
      <c r="P116" s="5566"/>
      <c r="Q116" s="5566"/>
      <c r="R116" s="5566"/>
      <c r="S116" s="657"/>
      <c r="T116" s="654"/>
      <c r="U116" s="563"/>
      <c r="V116" s="563"/>
      <c r="W116" s="564"/>
      <c r="X116" s="564"/>
      <c r="Y116" s="564"/>
      <c r="Z116" s="564"/>
      <c r="AA116" s="565"/>
      <c r="AB116" s="566"/>
      <c r="AC116" s="5569"/>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4278" customFormat="1" ht="15" customHeight="1">
      <c r="A117" s="561"/>
      <c r="B117" s="562"/>
      <c r="C117" s="562"/>
      <c r="D117" s="5688"/>
      <c r="E117" s="5570" t="s">
        <v>657</v>
      </c>
      <c r="F117" s="5571"/>
      <c r="G117" s="5572"/>
      <c r="H117" s="5566" t="str">
        <f>IF(A115="","",INDEX(DIFFERENTIATION_UNMERGE_SYSTEM,MATCH(A115,DIFFERENTIATION_ID_DIFF,0)))</f>
        <v/>
      </c>
      <c r="I117" s="5566"/>
      <c r="J117" s="5566"/>
      <c r="K117" s="5566"/>
      <c r="L117" s="5566"/>
      <c r="M117" s="5566"/>
      <c r="N117" s="5566"/>
      <c r="O117" s="5566"/>
      <c r="P117" s="5566"/>
      <c r="Q117" s="5566"/>
      <c r="R117" s="5566"/>
      <c r="S117" s="657"/>
      <c r="T117" s="654"/>
      <c r="U117" s="563"/>
      <c r="V117" s="563"/>
      <c r="W117" s="564"/>
      <c r="X117" s="564"/>
      <c r="Y117" s="564"/>
      <c r="Z117" s="564"/>
      <c r="AA117" s="565"/>
      <c r="AB117" s="566"/>
      <c r="AC117" s="5569"/>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4278" customFormat="1" ht="24.75" customHeight="1">
      <c r="A118" s="1726"/>
      <c r="B118" s="1081"/>
      <c r="C118" s="350"/>
      <c r="D118" s="5688"/>
      <c r="E118" s="5568" t="s">
        <v>702</v>
      </c>
      <c r="F118" s="5568"/>
      <c r="G118" s="5568"/>
      <c r="H118" s="5568"/>
      <c r="I118" s="5568"/>
      <c r="J118" s="5568"/>
      <c r="K118" s="5568"/>
      <c r="L118" s="5568"/>
      <c r="M118" s="5568"/>
      <c r="N118" s="5568"/>
      <c r="O118" s="5568"/>
      <c r="P118" s="5568"/>
      <c r="Q118" s="496">
        <f>SUMIF(T119:T120,"i",Q119:Q120)</f>
        <v>0</v>
      </c>
      <c r="R118" s="942"/>
      <c r="S118" s="1718" t="s">
        <v>703</v>
      </c>
      <c r="T118" s="655" t="s">
        <v>704</v>
      </c>
      <c r="U118" s="5473">
        <v>1</v>
      </c>
      <c r="V118" s="5473" t="s">
        <v>667</v>
      </c>
      <c r="W118" s="1081"/>
      <c r="X118" s="1081"/>
      <c r="Y118" s="1081"/>
      <c r="Z118" s="1081"/>
      <c r="AA118" s="1557"/>
      <c r="AB118" s="1081"/>
      <c r="AC118" s="5569"/>
      <c r="AD118" s="567"/>
      <c r="AE118" s="1081"/>
      <c r="AF118" s="1081"/>
      <c r="AG118" s="1557"/>
      <c r="AH118" s="1557"/>
      <c r="AI118" s="1557"/>
      <c r="AJ118" s="1557"/>
      <c r="AK118" s="1557"/>
      <c r="AL118" s="1557"/>
      <c r="AM118" s="1557"/>
      <c r="AN118" s="1557"/>
      <c r="AO118" s="1557"/>
      <c r="AP118" s="1557"/>
      <c r="AQ118" s="1557"/>
      <c r="AR118" s="1557"/>
      <c r="AS118" s="1557"/>
      <c r="AT118" s="1557"/>
      <c r="AU118" s="1557"/>
      <c r="AV118" s="1557"/>
      <c r="AW118" s="1557"/>
      <c r="AX118" s="1557"/>
      <c r="AY118" s="1557"/>
      <c r="AZ118" s="1557"/>
      <c r="BA118" s="1557"/>
      <c r="BB118" s="1557"/>
      <c r="BC118" s="1557"/>
      <c r="BD118" s="1557"/>
      <c r="BE118" s="1557"/>
      <c r="BF118" s="1557"/>
      <c r="BG118" s="1557"/>
      <c r="BH118" s="1557"/>
      <c r="BI118" s="1557"/>
      <c r="BJ118" s="1557"/>
      <c r="BK118" s="1557"/>
      <c r="BL118" s="1557"/>
      <c r="BM118" s="1557"/>
      <c r="BN118" s="1557"/>
      <c r="BO118" s="1557"/>
      <c r="BP118" s="1557"/>
      <c r="BQ118" s="1557"/>
      <c r="BR118" s="1557"/>
      <c r="BS118" s="1557"/>
      <c r="BT118" s="1557"/>
      <c r="BU118" s="1557"/>
      <c r="BV118" s="1081"/>
      <c r="BW118" s="1081"/>
      <c r="BX118" s="1081"/>
      <c r="BY118" s="1081"/>
      <c r="BZ118" s="1081"/>
      <c r="CA118" s="1081"/>
      <c r="CB118" s="1081"/>
      <c r="CC118" s="1081"/>
      <c r="CD118" s="1081"/>
      <c r="CE118" s="1081"/>
    </row>
    <row r="119" spans="1:83" s="4278" customFormat="1" ht="11.25" hidden="1" customHeight="1">
      <c r="A119" s="1713"/>
      <c r="B119" s="1557"/>
      <c r="C119" s="1557"/>
      <c r="D119" s="5688"/>
      <c r="E119" s="573"/>
      <c r="F119" s="573">
        <v>0</v>
      </c>
      <c r="G119" s="573"/>
      <c r="H119" s="573"/>
      <c r="I119" s="573"/>
      <c r="J119" s="573"/>
      <c r="K119" s="573"/>
      <c r="L119" s="573"/>
      <c r="M119" s="573"/>
      <c r="N119" s="573"/>
      <c r="O119" s="573"/>
      <c r="P119" s="573"/>
      <c r="Q119" s="573"/>
      <c r="R119" s="573"/>
      <c r="S119" s="574"/>
      <c r="T119" s="656"/>
      <c r="U119" s="5473"/>
      <c r="V119" s="5473"/>
      <c r="W119" s="1557"/>
      <c r="X119" s="1557"/>
      <c r="Y119" s="1557"/>
      <c r="Z119" s="1557"/>
      <c r="AA119" s="1557"/>
      <c r="AB119" s="1081"/>
      <c r="AC119" s="5569"/>
      <c r="AD119" s="567"/>
      <c r="AE119" s="1081"/>
      <c r="AF119" s="1081"/>
      <c r="AG119" s="1557"/>
      <c r="AH119" s="1557"/>
      <c r="AI119" s="1557"/>
      <c r="AJ119" s="1557"/>
      <c r="AK119" s="1557"/>
      <c r="AL119" s="1557"/>
      <c r="AM119" s="1557"/>
      <c r="AN119" s="1557"/>
      <c r="AO119" s="1557"/>
      <c r="AP119" s="1557"/>
      <c r="AQ119" s="1557"/>
      <c r="AR119" s="1557"/>
      <c r="AS119" s="1557"/>
      <c r="AT119" s="1557"/>
      <c r="AU119" s="1557"/>
      <c r="AV119" s="1557"/>
      <c r="AW119" s="1557"/>
      <c r="AX119" s="1557"/>
      <c r="AY119" s="1557"/>
      <c r="AZ119" s="1557"/>
      <c r="BA119" s="1557"/>
      <c r="BB119" s="1557"/>
      <c r="BC119" s="1557"/>
      <c r="BD119" s="1557"/>
      <c r="BE119" s="1557"/>
      <c r="BF119" s="1557"/>
      <c r="BG119" s="1557"/>
      <c r="BH119" s="1557"/>
      <c r="BI119" s="1557"/>
      <c r="BJ119" s="1557"/>
      <c r="BK119" s="1557"/>
      <c r="BL119" s="1557"/>
      <c r="BM119" s="1557"/>
      <c r="BN119" s="1557"/>
      <c r="BO119" s="1557"/>
      <c r="BP119" s="1557"/>
      <c r="BQ119" s="1557"/>
      <c r="BR119" s="1557"/>
      <c r="BS119" s="1557"/>
      <c r="BT119" s="1557"/>
      <c r="BU119" s="1557"/>
      <c r="BV119" s="1557"/>
      <c r="BW119" s="1557"/>
      <c r="BX119" s="1557"/>
      <c r="BY119" s="1557"/>
      <c r="BZ119" s="1557"/>
      <c r="CA119" s="1557"/>
      <c r="CB119" s="1557"/>
      <c r="CC119" s="1557"/>
      <c r="CD119" s="1557"/>
      <c r="CE119" s="1557"/>
    </row>
    <row r="120" spans="1:83" s="4278" customFormat="1" ht="11.25" customHeight="1">
      <c r="A120" s="1726"/>
      <c r="B120" s="1081"/>
      <c r="C120" s="350"/>
      <c r="D120" s="5688"/>
      <c r="E120" s="587" t="s">
        <v>28</v>
      </c>
      <c r="F120" s="1089" t="s">
        <v>28</v>
      </c>
      <c r="G120" s="1089" t="s">
        <v>2029</v>
      </c>
      <c r="H120" s="589" t="s">
        <v>28</v>
      </c>
      <c r="I120" s="589"/>
      <c r="J120" s="589"/>
      <c r="K120" s="589"/>
      <c r="L120" s="589"/>
      <c r="M120" s="589"/>
      <c r="N120" s="589"/>
      <c r="O120" s="589"/>
      <c r="P120" s="589"/>
      <c r="Q120" s="589"/>
      <c r="R120" s="590"/>
      <c r="S120" s="591"/>
      <c r="T120" s="656"/>
      <c r="U120" s="5473"/>
      <c r="V120" s="5473"/>
      <c r="W120" s="1081"/>
      <c r="X120" s="1081"/>
      <c r="Y120" s="1081"/>
      <c r="Z120" s="1081"/>
      <c r="AA120" s="1557"/>
      <c r="AB120" s="1081"/>
      <c r="AC120" s="5569"/>
      <c r="AD120" s="567"/>
      <c r="AE120" s="1081"/>
      <c r="AF120" s="1081"/>
      <c r="AG120" s="1557"/>
      <c r="AH120" s="1557"/>
      <c r="AI120" s="1557"/>
      <c r="AJ120" s="1557"/>
      <c r="AK120" s="1557"/>
      <c r="AL120" s="1557"/>
      <c r="AM120" s="1557"/>
      <c r="AN120" s="1557"/>
      <c r="AO120" s="1557"/>
      <c r="AP120" s="1557"/>
      <c r="AQ120" s="1557"/>
      <c r="AR120" s="1557"/>
      <c r="AS120" s="1557"/>
      <c r="AT120" s="1557"/>
      <c r="AU120" s="1557"/>
      <c r="AV120" s="1557"/>
      <c r="AW120" s="1557"/>
      <c r="AX120" s="1557"/>
      <c r="AY120" s="1557"/>
      <c r="AZ120" s="1557"/>
      <c r="BA120" s="1557"/>
      <c r="BB120" s="1557"/>
      <c r="BC120" s="1557"/>
      <c r="BD120" s="1557"/>
      <c r="BE120" s="1557"/>
      <c r="BF120" s="1557"/>
      <c r="BG120" s="1557"/>
      <c r="BH120" s="1557"/>
      <c r="BI120" s="1557"/>
      <c r="BJ120" s="1557"/>
      <c r="BK120" s="1557"/>
      <c r="BL120" s="1557"/>
      <c r="BM120" s="1557"/>
      <c r="BN120" s="1557"/>
      <c r="BO120" s="1557"/>
      <c r="BP120" s="1557"/>
      <c r="BQ120" s="1557"/>
      <c r="BR120" s="1557"/>
      <c r="BS120" s="1557"/>
      <c r="BT120" s="1557"/>
      <c r="BU120" s="1557"/>
      <c r="BV120" s="1081"/>
      <c r="BW120" s="1081"/>
      <c r="BX120" s="1081"/>
      <c r="BY120" s="1081"/>
      <c r="BZ120" s="1081"/>
      <c r="CA120" s="1081"/>
      <c r="CB120" s="1081"/>
      <c r="CC120" s="1081"/>
      <c r="CD120" s="1081"/>
      <c r="CE120" s="1081"/>
    </row>
    <row r="121" spans="1:83" s="4278" customFormat="1" ht="24.75" customHeight="1">
      <c r="A121" s="1726"/>
      <c r="B121" s="1081"/>
      <c r="C121" s="350"/>
      <c r="D121" s="5688"/>
      <c r="E121" s="5568" t="s">
        <v>705</v>
      </c>
      <c r="F121" s="5568"/>
      <c r="G121" s="5568"/>
      <c r="H121" s="5568"/>
      <c r="I121" s="5568"/>
      <c r="J121" s="5568"/>
      <c r="K121" s="5568"/>
      <c r="L121" s="5568"/>
      <c r="M121" s="5568"/>
      <c r="N121" s="5568"/>
      <c r="O121" s="5568"/>
      <c r="P121" s="5568"/>
      <c r="Q121" s="496">
        <f>SUMIF(T122:T123,"i",Q122:Q123)</f>
        <v>0</v>
      </c>
      <c r="R121" s="942"/>
      <c r="S121" s="1718" t="s">
        <v>706</v>
      </c>
      <c r="T121" s="655" t="s">
        <v>704</v>
      </c>
      <c r="U121" s="5473">
        <v>1</v>
      </c>
      <c r="V121" s="5473" t="s">
        <v>667</v>
      </c>
      <c r="W121" s="1081"/>
      <c r="X121" s="1081"/>
      <c r="Y121" s="1081"/>
      <c r="Z121" s="1081"/>
      <c r="AA121" s="1557"/>
      <c r="AB121" s="1081"/>
      <c r="AC121" s="1716"/>
      <c r="AD121" s="567"/>
      <c r="AE121" s="1081"/>
      <c r="AF121" s="1081"/>
      <c r="AG121" s="1557"/>
      <c r="AH121" s="1557"/>
      <c r="AI121" s="1557"/>
      <c r="AJ121" s="1557"/>
      <c r="AK121" s="1557"/>
      <c r="AL121" s="1557"/>
      <c r="AM121" s="1557"/>
      <c r="AN121" s="1557"/>
      <c r="AO121" s="1557"/>
      <c r="AP121" s="1557"/>
      <c r="AQ121" s="1557"/>
      <c r="AR121" s="1557"/>
      <c r="AS121" s="1557"/>
      <c r="AT121" s="1557"/>
      <c r="AU121" s="1557"/>
      <c r="AV121" s="1557"/>
      <c r="AW121" s="1557"/>
      <c r="AX121" s="1557"/>
      <c r="AY121" s="1557"/>
      <c r="AZ121" s="1557"/>
      <c r="BA121" s="1557"/>
      <c r="BB121" s="1557"/>
      <c r="BC121" s="1557"/>
      <c r="BD121" s="1557"/>
      <c r="BE121" s="1557"/>
      <c r="BF121" s="1557"/>
      <c r="BG121" s="1557"/>
      <c r="BH121" s="1557"/>
      <c r="BI121" s="1557"/>
      <c r="BJ121" s="1557"/>
      <c r="BK121" s="1557"/>
      <c r="BL121" s="1557"/>
      <c r="BM121" s="1557"/>
      <c r="BN121" s="1557"/>
      <c r="BO121" s="1557"/>
      <c r="BP121" s="1557"/>
      <c r="BQ121" s="1557"/>
      <c r="BR121" s="1557"/>
      <c r="BS121" s="1557"/>
      <c r="BT121" s="1557"/>
      <c r="BU121" s="1557"/>
      <c r="BV121" s="1081"/>
      <c r="BW121" s="1081"/>
      <c r="BX121" s="1081"/>
      <c r="BY121" s="1081"/>
      <c r="BZ121" s="1081"/>
      <c r="CA121" s="1081"/>
      <c r="CB121" s="1081"/>
      <c r="CC121" s="1081"/>
      <c r="CD121" s="1081"/>
      <c r="CE121" s="1081"/>
    </row>
    <row r="122" spans="1:83" s="4278" customFormat="1" ht="11.25" hidden="1" customHeight="1">
      <c r="A122" s="1713"/>
      <c r="B122" s="1557"/>
      <c r="C122" s="1557"/>
      <c r="D122" s="5688"/>
      <c r="E122" s="573"/>
      <c r="F122" s="573">
        <v>0</v>
      </c>
      <c r="G122" s="573"/>
      <c r="H122" s="573"/>
      <c r="I122" s="573"/>
      <c r="J122" s="573"/>
      <c r="K122" s="573"/>
      <c r="L122" s="573"/>
      <c r="M122" s="573"/>
      <c r="N122" s="573"/>
      <c r="O122" s="573"/>
      <c r="P122" s="573"/>
      <c r="Q122" s="573"/>
      <c r="R122" s="573"/>
      <c r="S122" s="574"/>
      <c r="T122" s="656"/>
      <c r="U122" s="5473"/>
      <c r="V122" s="5473"/>
      <c r="W122" s="1557"/>
      <c r="X122" s="1557"/>
      <c r="Y122" s="1557"/>
      <c r="Z122" s="1557"/>
      <c r="AA122" s="1557"/>
      <c r="AB122" s="1081"/>
      <c r="AC122" s="1716"/>
      <c r="AD122" s="567"/>
      <c r="AE122" s="1081"/>
      <c r="AF122" s="1081"/>
      <c r="AG122" s="1557"/>
      <c r="AH122" s="1557"/>
      <c r="AI122" s="1557"/>
      <c r="AJ122" s="1557"/>
      <c r="AK122" s="1557"/>
      <c r="AL122" s="1557"/>
      <c r="AM122" s="1557"/>
      <c r="AN122" s="1557"/>
      <c r="AO122" s="1557"/>
      <c r="AP122" s="1557"/>
      <c r="AQ122" s="1557"/>
      <c r="AR122" s="1557"/>
      <c r="AS122" s="1557"/>
      <c r="AT122" s="1557"/>
      <c r="AU122" s="1557"/>
      <c r="AV122" s="1557"/>
      <c r="AW122" s="1557"/>
      <c r="AX122" s="1557"/>
      <c r="AY122" s="1557"/>
      <c r="AZ122" s="1557"/>
      <c r="BA122" s="1557"/>
      <c r="BB122" s="1557"/>
      <c r="BC122" s="1557"/>
      <c r="BD122" s="1557"/>
      <c r="BE122" s="1557"/>
      <c r="BF122" s="1557"/>
      <c r="BG122" s="1557"/>
      <c r="BH122" s="1557"/>
      <c r="BI122" s="1557"/>
      <c r="BJ122" s="1557"/>
      <c r="BK122" s="1557"/>
      <c r="BL122" s="1557"/>
      <c r="BM122" s="1557"/>
      <c r="BN122" s="1557"/>
      <c r="BO122" s="1557"/>
      <c r="BP122" s="1557"/>
      <c r="BQ122" s="1557"/>
      <c r="BR122" s="1557"/>
      <c r="BS122" s="1557"/>
      <c r="BT122" s="1557"/>
      <c r="BU122" s="1557"/>
      <c r="BV122" s="1557"/>
      <c r="BW122" s="1557"/>
      <c r="BX122" s="1557"/>
      <c r="BY122" s="1557"/>
      <c r="BZ122" s="1557"/>
      <c r="CA122" s="1557"/>
      <c r="CB122" s="1557"/>
      <c r="CC122" s="1557"/>
      <c r="CD122" s="1557"/>
      <c r="CE122" s="1557"/>
    </row>
    <row r="123" spans="1:83" s="4278" customFormat="1" ht="11.25" customHeight="1">
      <c r="A123" s="1726"/>
      <c r="B123" s="1081"/>
      <c r="C123" s="350"/>
      <c r="D123" s="5689"/>
      <c r="E123" s="587" t="s">
        <v>28</v>
      </c>
      <c r="F123" s="1089" t="s">
        <v>28</v>
      </c>
      <c r="G123" s="1089" t="s">
        <v>2029</v>
      </c>
      <c r="H123" s="589" t="s">
        <v>28</v>
      </c>
      <c r="I123" s="589"/>
      <c r="J123" s="589"/>
      <c r="K123" s="589"/>
      <c r="L123" s="589"/>
      <c r="M123" s="589"/>
      <c r="N123" s="589"/>
      <c r="O123" s="589"/>
      <c r="P123" s="589"/>
      <c r="Q123" s="589"/>
      <c r="R123" s="590"/>
      <c r="S123" s="591"/>
      <c r="T123" s="656"/>
      <c r="U123" s="5473"/>
      <c r="V123" s="5473"/>
      <c r="W123" s="1081"/>
      <c r="X123" s="1081"/>
      <c r="Y123" s="1081"/>
      <c r="Z123" s="1081"/>
      <c r="AA123" s="1557"/>
      <c r="AB123" s="1081"/>
      <c r="AC123" s="1716"/>
      <c r="AD123" s="567"/>
      <c r="AE123" s="1081"/>
      <c r="AF123" s="1081"/>
      <c r="AG123" s="1557"/>
      <c r="AH123" s="1557"/>
      <c r="AI123" s="1557"/>
      <c r="AJ123" s="1557"/>
      <c r="AK123" s="1557"/>
      <c r="AL123" s="1557"/>
      <c r="AM123" s="1557"/>
      <c r="AN123" s="1557"/>
      <c r="AO123" s="1557"/>
      <c r="AP123" s="1557"/>
      <c r="AQ123" s="1557"/>
      <c r="AR123" s="1557"/>
      <c r="AS123" s="1557"/>
      <c r="AT123" s="1557"/>
      <c r="AU123" s="1557"/>
      <c r="AV123" s="1557"/>
      <c r="AW123" s="1557"/>
      <c r="AX123" s="1557"/>
      <c r="AY123" s="1557"/>
      <c r="AZ123" s="1557"/>
      <c r="BA123" s="1557"/>
      <c r="BB123" s="1557"/>
      <c r="BC123" s="1557"/>
      <c r="BD123" s="1557"/>
      <c r="BE123" s="1557"/>
      <c r="BF123" s="1557"/>
      <c r="BG123" s="1557"/>
      <c r="BH123" s="1557"/>
      <c r="BI123" s="1557"/>
      <c r="BJ123" s="1557"/>
      <c r="BK123" s="1557"/>
      <c r="BL123" s="1557"/>
      <c r="BM123" s="1557"/>
      <c r="BN123" s="1557"/>
      <c r="BO123" s="1557"/>
      <c r="BP123" s="1557"/>
      <c r="BQ123" s="1557"/>
      <c r="BR123" s="1557"/>
      <c r="BS123" s="1557"/>
      <c r="BT123" s="1557"/>
      <c r="BU123" s="1557"/>
      <c r="BV123" s="1081"/>
      <c r="BW123" s="1081"/>
      <c r="BX123" s="1081"/>
      <c r="BY123" s="1081"/>
      <c r="BZ123" s="1081"/>
      <c r="CA123" s="1081"/>
      <c r="CB123" s="1081"/>
      <c r="CC123" s="1081"/>
      <c r="CD123" s="1081"/>
      <c r="CE123" s="1081"/>
    </row>
    <row r="125" spans="1:83" s="5280" customFormat="1" ht="11.25" customHeight="1">
      <c r="A125" s="1735" t="s">
        <v>2030</v>
      </c>
    </row>
    <row r="127" spans="1:83" s="4278" customFormat="1" ht="15" customHeight="1">
      <c r="A127" s="561"/>
      <c r="B127" s="562"/>
      <c r="C127" s="562"/>
      <c r="D127" s="5687" t="s">
        <v>136</v>
      </c>
      <c r="E127" s="5570" t="s">
        <v>141</v>
      </c>
      <c r="F127" s="5571"/>
      <c r="G127" s="5572"/>
      <c r="H127" s="5566" t="str">
        <f>IF(A127="","",INDEX(DIFFERENTIATION_UNMERGE_VD,MATCH(A127,DIFFERENTIATION_ID_DIFF,0)))</f>
        <v/>
      </c>
      <c r="I127" s="5566"/>
      <c r="J127" s="5566"/>
      <c r="K127" s="5566"/>
      <c r="L127" s="5566"/>
      <c r="M127" s="5566"/>
      <c r="N127" s="5566"/>
      <c r="O127" s="5566"/>
      <c r="P127" s="5566"/>
      <c r="Q127" s="5566"/>
      <c r="R127" s="5566"/>
      <c r="S127" s="657"/>
      <c r="T127" s="654"/>
      <c r="U127" s="563"/>
      <c r="V127" s="563"/>
      <c r="W127" s="564"/>
      <c r="X127" s="564"/>
      <c r="Y127" s="564"/>
      <c r="Z127" s="564"/>
      <c r="AA127" s="565"/>
      <c r="AB127" s="566"/>
      <c r="AC127" s="5569"/>
      <c r="AD127" s="567"/>
      <c r="AE127" s="568" t="s">
        <v>28</v>
      </c>
      <c r="AF127" s="568"/>
      <c r="AG127" s="569" t="s">
        <v>701</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4278" customFormat="1" ht="15" customHeight="1">
      <c r="A128" s="561"/>
      <c r="B128" s="562"/>
      <c r="C128" s="562"/>
      <c r="D128" s="5688"/>
      <c r="E128" s="5570" t="s">
        <v>656</v>
      </c>
      <c r="F128" s="5571"/>
      <c r="G128" s="5572"/>
      <c r="H128" s="5566" t="str">
        <f>IF(A127="","",INDEX(DIFFERENTIATION_UNMERGE_AREA,MATCH(A127,DIFFERENTIATION_ID_DIFF,0)))</f>
        <v/>
      </c>
      <c r="I128" s="5566"/>
      <c r="J128" s="5566"/>
      <c r="K128" s="5566"/>
      <c r="L128" s="5566"/>
      <c r="M128" s="5566"/>
      <c r="N128" s="5566"/>
      <c r="O128" s="5566"/>
      <c r="P128" s="5566"/>
      <c r="Q128" s="5566"/>
      <c r="R128" s="5566"/>
      <c r="S128" s="657"/>
      <c r="T128" s="654"/>
      <c r="U128" s="563"/>
      <c r="V128" s="563"/>
      <c r="W128" s="564"/>
      <c r="X128" s="564"/>
      <c r="Y128" s="564"/>
      <c r="Z128" s="564"/>
      <c r="AA128" s="565"/>
      <c r="AB128" s="566"/>
      <c r="AC128" s="5569"/>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4278" customFormat="1" ht="15" customHeight="1">
      <c r="A129" s="561"/>
      <c r="B129" s="562"/>
      <c r="C129" s="562"/>
      <c r="D129" s="5688"/>
      <c r="E129" s="5570" t="s">
        <v>657</v>
      </c>
      <c r="F129" s="5571"/>
      <c r="G129" s="5572"/>
      <c r="H129" s="5566" t="str">
        <f>IF(A127="","",INDEX(DIFFERENTIATION_UNMERGE_SYSTEM,MATCH(A127,DIFFERENTIATION_ID_DIFF,0)))</f>
        <v/>
      </c>
      <c r="I129" s="5566"/>
      <c r="J129" s="5566"/>
      <c r="K129" s="5566"/>
      <c r="L129" s="5566"/>
      <c r="M129" s="5566"/>
      <c r="N129" s="5566"/>
      <c r="O129" s="5566"/>
      <c r="P129" s="5566"/>
      <c r="Q129" s="5566"/>
      <c r="R129" s="5566"/>
      <c r="S129" s="657"/>
      <c r="T129" s="654"/>
      <c r="U129" s="563"/>
      <c r="V129" s="563"/>
      <c r="W129" s="564"/>
      <c r="X129" s="564"/>
      <c r="Y129" s="564"/>
      <c r="Z129" s="564"/>
      <c r="AA129" s="565"/>
      <c r="AB129" s="566"/>
      <c r="AC129" s="5569"/>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4278" customFormat="1" ht="24.75" customHeight="1">
      <c r="A130" s="1726"/>
      <c r="B130" s="1081"/>
      <c r="C130" s="350"/>
      <c r="D130" s="5688"/>
      <c r="E130" s="5568" t="s">
        <v>702</v>
      </c>
      <c r="F130" s="5568"/>
      <c r="G130" s="5568"/>
      <c r="H130" s="5568"/>
      <c r="I130" s="5568"/>
      <c r="J130" s="5568"/>
      <c r="K130" s="5568"/>
      <c r="L130" s="5568"/>
      <c r="M130" s="5568"/>
      <c r="N130" s="5568"/>
      <c r="O130" s="5568"/>
      <c r="P130" s="5568"/>
      <c r="Q130" s="496">
        <f>SUMIF(T131:T132,"i",Q131:Q132)</f>
        <v>0</v>
      </c>
      <c r="R130" s="942"/>
      <c r="S130" s="1718" t="s">
        <v>703</v>
      </c>
      <c r="T130" s="655" t="s">
        <v>704</v>
      </c>
      <c r="U130" s="5473">
        <v>1</v>
      </c>
      <c r="V130" s="5473" t="s">
        <v>667</v>
      </c>
      <c r="W130" s="1081"/>
      <c r="X130" s="1081"/>
      <c r="Y130" s="1081"/>
      <c r="Z130" s="1081"/>
      <c r="AA130" s="1557"/>
      <c r="AB130" s="1081"/>
      <c r="AC130" s="5569"/>
      <c r="AD130" s="567"/>
      <c r="AE130" s="1081"/>
      <c r="AF130" s="1081"/>
      <c r="AG130" s="1557"/>
      <c r="AH130" s="1557"/>
      <c r="AI130" s="1557"/>
      <c r="AJ130" s="1557"/>
      <c r="AK130" s="1557"/>
      <c r="AL130" s="1557"/>
      <c r="AM130" s="1557"/>
      <c r="AN130" s="1557"/>
      <c r="AO130" s="1557"/>
      <c r="AP130" s="1557"/>
      <c r="AQ130" s="1557"/>
      <c r="AR130" s="1557"/>
      <c r="AS130" s="1557"/>
      <c r="AT130" s="1557"/>
      <c r="AU130" s="1557"/>
      <c r="AV130" s="1557"/>
      <c r="AW130" s="1557"/>
      <c r="AX130" s="1557"/>
      <c r="AY130" s="1557"/>
      <c r="AZ130" s="1557"/>
      <c r="BA130" s="1557"/>
      <c r="BB130" s="1557"/>
      <c r="BC130" s="1557"/>
      <c r="BD130" s="1557"/>
      <c r="BE130" s="1557"/>
      <c r="BF130" s="1557"/>
      <c r="BG130" s="1557"/>
      <c r="BH130" s="1557"/>
      <c r="BI130" s="1557"/>
      <c r="BJ130" s="1557"/>
      <c r="BK130" s="1557"/>
      <c r="BL130" s="1557"/>
      <c r="BM130" s="1557"/>
      <c r="BN130" s="1557"/>
      <c r="BO130" s="1557"/>
      <c r="BP130" s="1557"/>
      <c r="BQ130" s="1557"/>
      <c r="BR130" s="1557"/>
      <c r="BS130" s="1557"/>
      <c r="BT130" s="1557"/>
      <c r="BU130" s="1557"/>
      <c r="BV130" s="1081"/>
      <c r="BW130" s="1081"/>
      <c r="BX130" s="1081"/>
      <c r="BY130" s="1081"/>
      <c r="BZ130" s="1081"/>
      <c r="CA130" s="1081"/>
      <c r="CB130" s="1081"/>
      <c r="CC130" s="1081"/>
      <c r="CD130" s="1081"/>
      <c r="CE130" s="1081"/>
    </row>
    <row r="131" spans="1:83" s="4278" customFormat="1" ht="11.25" hidden="1" customHeight="1">
      <c r="A131" s="1713"/>
      <c r="B131" s="1557"/>
      <c r="C131" s="1557"/>
      <c r="D131" s="5688"/>
      <c r="E131" s="573"/>
      <c r="F131" s="573">
        <v>0</v>
      </c>
      <c r="G131" s="573"/>
      <c r="H131" s="573"/>
      <c r="I131" s="573"/>
      <c r="J131" s="573"/>
      <c r="K131" s="573"/>
      <c r="L131" s="573"/>
      <c r="M131" s="573"/>
      <c r="N131" s="573"/>
      <c r="O131" s="573"/>
      <c r="P131" s="573"/>
      <c r="Q131" s="573"/>
      <c r="R131" s="573"/>
      <c r="S131" s="574"/>
      <c r="T131" s="656"/>
      <c r="U131" s="5473"/>
      <c r="V131" s="5473"/>
      <c r="W131" s="1557"/>
      <c r="X131" s="1557"/>
      <c r="Y131" s="1557"/>
      <c r="Z131" s="1557"/>
      <c r="AA131" s="1557"/>
      <c r="AB131" s="1081"/>
      <c r="AC131" s="5569"/>
      <c r="AD131" s="567"/>
      <c r="AE131" s="1081"/>
      <c r="AF131" s="1081"/>
      <c r="AG131" s="1557"/>
      <c r="AH131" s="1557"/>
      <c r="AI131" s="1557"/>
      <c r="AJ131" s="1557"/>
      <c r="AK131" s="1557"/>
      <c r="AL131" s="1557"/>
      <c r="AM131" s="1557"/>
      <c r="AN131" s="1557"/>
      <c r="AO131" s="1557"/>
      <c r="AP131" s="1557"/>
      <c r="AQ131" s="1557"/>
      <c r="AR131" s="1557"/>
      <c r="AS131" s="1557"/>
      <c r="AT131" s="1557"/>
      <c r="AU131" s="1557"/>
      <c r="AV131" s="1557"/>
      <c r="AW131" s="1557"/>
      <c r="AX131" s="1557"/>
      <c r="AY131" s="1557"/>
      <c r="AZ131" s="1557"/>
      <c r="BA131" s="1557"/>
      <c r="BB131" s="1557"/>
      <c r="BC131" s="1557"/>
      <c r="BD131" s="1557"/>
      <c r="BE131" s="1557"/>
      <c r="BF131" s="1557"/>
      <c r="BG131" s="1557"/>
      <c r="BH131" s="1557"/>
      <c r="BI131" s="1557"/>
      <c r="BJ131" s="1557"/>
      <c r="BK131" s="1557"/>
      <c r="BL131" s="1557"/>
      <c r="BM131" s="1557"/>
      <c r="BN131" s="1557"/>
      <c r="BO131" s="1557"/>
      <c r="BP131" s="1557"/>
      <c r="BQ131" s="1557"/>
      <c r="BR131" s="1557"/>
      <c r="BS131" s="1557"/>
      <c r="BT131" s="1557"/>
      <c r="BU131" s="1557"/>
      <c r="BV131" s="1557"/>
      <c r="BW131" s="1557"/>
      <c r="BX131" s="1557"/>
      <c r="BY131" s="1557"/>
      <c r="BZ131" s="1557"/>
      <c r="CA131" s="1557"/>
      <c r="CB131" s="1557"/>
      <c r="CC131" s="1557"/>
      <c r="CD131" s="1557"/>
      <c r="CE131" s="1557"/>
    </row>
    <row r="132" spans="1:83" s="4278" customFormat="1" ht="11.25" customHeight="1">
      <c r="A132" s="1726"/>
      <c r="B132" s="1081"/>
      <c r="C132" s="350"/>
      <c r="D132" s="5688"/>
      <c r="E132" s="587" t="s">
        <v>28</v>
      </c>
      <c r="F132" s="1089" t="s">
        <v>28</v>
      </c>
      <c r="G132" s="1089" t="s">
        <v>2029</v>
      </c>
      <c r="H132" s="589" t="s">
        <v>28</v>
      </c>
      <c r="I132" s="589"/>
      <c r="J132" s="589"/>
      <c r="K132" s="589"/>
      <c r="L132" s="589"/>
      <c r="M132" s="589"/>
      <c r="N132" s="589"/>
      <c r="O132" s="589"/>
      <c r="P132" s="589"/>
      <c r="Q132" s="589"/>
      <c r="R132" s="590"/>
      <c r="S132" s="591"/>
      <c r="T132" s="656"/>
      <c r="U132" s="5473"/>
      <c r="V132" s="5473"/>
      <c r="W132" s="1081"/>
      <c r="X132" s="1081"/>
      <c r="Y132" s="1081"/>
      <c r="Z132" s="1081"/>
      <c r="AA132" s="1557"/>
      <c r="AB132" s="1081"/>
      <c r="AC132" s="5569"/>
      <c r="AD132" s="567"/>
      <c r="AE132" s="1081"/>
      <c r="AF132" s="1081"/>
      <c r="AG132" s="1557"/>
      <c r="AH132" s="1557"/>
      <c r="AI132" s="1557"/>
      <c r="AJ132" s="1557"/>
      <c r="AK132" s="1557"/>
      <c r="AL132" s="1557"/>
      <c r="AM132" s="1557"/>
      <c r="AN132" s="1557"/>
      <c r="AO132" s="1557"/>
      <c r="AP132" s="1557"/>
      <c r="AQ132" s="1557"/>
      <c r="AR132" s="1557"/>
      <c r="AS132" s="1557"/>
      <c r="AT132" s="1557"/>
      <c r="AU132" s="1557"/>
      <c r="AV132" s="1557"/>
      <c r="AW132" s="1557"/>
      <c r="AX132" s="1557"/>
      <c r="AY132" s="1557"/>
      <c r="AZ132" s="1557"/>
      <c r="BA132" s="1557"/>
      <c r="BB132" s="1557"/>
      <c r="BC132" s="1557"/>
      <c r="BD132" s="1557"/>
      <c r="BE132" s="1557"/>
      <c r="BF132" s="1557"/>
      <c r="BG132" s="1557"/>
      <c r="BH132" s="1557"/>
      <c r="BI132" s="1557"/>
      <c r="BJ132" s="1557"/>
      <c r="BK132" s="1557"/>
      <c r="BL132" s="1557"/>
      <c r="BM132" s="1557"/>
      <c r="BN132" s="1557"/>
      <c r="BO132" s="1557"/>
      <c r="BP132" s="1557"/>
      <c r="BQ132" s="1557"/>
      <c r="BR132" s="1557"/>
      <c r="BS132" s="1557"/>
      <c r="BT132" s="1557"/>
      <c r="BU132" s="1557"/>
      <c r="BV132" s="1081"/>
      <c r="BW132" s="1081"/>
      <c r="BX132" s="1081"/>
      <c r="BY132" s="1081"/>
      <c r="BZ132" s="1081"/>
      <c r="CA132" s="1081"/>
      <c r="CB132" s="1081"/>
      <c r="CC132" s="1081"/>
      <c r="CD132" s="1081"/>
      <c r="CE132" s="1081"/>
    </row>
    <row r="133" spans="1:83" s="4288" customFormat="1" ht="5.25" hidden="1" customHeight="1">
      <c r="A133" s="1713"/>
      <c r="B133" s="1557"/>
      <c r="C133" s="1557"/>
      <c r="D133" s="5688"/>
      <c r="E133" s="964"/>
      <c r="F133" s="964"/>
      <c r="G133" s="964"/>
      <c r="H133" s="964"/>
      <c r="I133" s="964"/>
      <c r="J133" s="964"/>
      <c r="K133" s="964"/>
      <c r="L133" s="964"/>
      <c r="M133" s="964"/>
      <c r="N133" s="964"/>
      <c r="O133" s="964"/>
      <c r="P133" s="964"/>
      <c r="Q133" s="965"/>
      <c r="R133" s="966"/>
      <c r="S133" s="967"/>
      <c r="T133" s="655" t="s">
        <v>704</v>
      </c>
      <c r="U133" s="5473">
        <v>1</v>
      </c>
      <c r="V133" s="5473" t="s">
        <v>667</v>
      </c>
      <c r="W133" s="1557"/>
      <c r="X133" s="1557"/>
      <c r="Y133" s="1557"/>
      <c r="Z133" s="1557"/>
      <c r="AA133" s="1557"/>
      <c r="AB133" s="1557"/>
      <c r="AC133" s="962"/>
      <c r="AD133" s="963"/>
      <c r="AE133" s="1557"/>
      <c r="AF133" s="1557"/>
      <c r="AG133" s="1557"/>
      <c r="AH133" s="1557"/>
      <c r="AI133" s="1557"/>
      <c r="AJ133" s="1557"/>
      <c r="AK133" s="1557"/>
      <c r="AL133" s="1557"/>
      <c r="AM133" s="1557"/>
      <c r="AN133" s="1557"/>
      <c r="AO133" s="1557"/>
      <c r="AP133" s="1557"/>
      <c r="AQ133" s="1557"/>
      <c r="AR133" s="1557"/>
      <c r="AS133" s="1557"/>
      <c r="AT133" s="1557"/>
      <c r="AU133" s="1557"/>
      <c r="AV133" s="1557"/>
      <c r="AW133" s="1557"/>
      <c r="AX133" s="1557"/>
      <c r="AY133" s="1557"/>
      <c r="AZ133" s="1557"/>
      <c r="BA133" s="1557"/>
      <c r="BB133" s="1557"/>
      <c r="BC133" s="1557"/>
      <c r="BD133" s="1557"/>
      <c r="BE133" s="1557"/>
      <c r="BF133" s="1557"/>
      <c r="BG133" s="1557"/>
      <c r="BH133" s="1557"/>
      <c r="BI133" s="1557"/>
      <c r="BJ133" s="1557"/>
      <c r="BK133" s="1557"/>
      <c r="BL133" s="1557"/>
      <c r="BM133" s="1557"/>
      <c r="BN133" s="1557"/>
      <c r="BO133" s="1557"/>
      <c r="BP133" s="1557"/>
      <c r="BQ133" s="1557"/>
      <c r="BR133" s="1557"/>
      <c r="BS133" s="1557"/>
      <c r="BT133" s="1557"/>
      <c r="BU133" s="1557"/>
      <c r="BV133" s="1557"/>
      <c r="BW133" s="1557"/>
      <c r="BX133" s="1557"/>
      <c r="BY133" s="1557"/>
      <c r="BZ133" s="1557"/>
      <c r="CA133" s="1557"/>
      <c r="CB133" s="1557"/>
      <c r="CC133" s="1557"/>
      <c r="CD133" s="1557"/>
      <c r="CE133" s="1557"/>
    </row>
    <row r="134" spans="1:83" s="4288" customFormat="1" ht="5.25" hidden="1" customHeight="1">
      <c r="A134" s="1713"/>
      <c r="B134" s="1557"/>
      <c r="C134" s="1557"/>
      <c r="D134" s="5688"/>
      <c r="E134" s="573"/>
      <c r="F134" s="573"/>
      <c r="G134" s="573"/>
      <c r="H134" s="573"/>
      <c r="I134" s="573"/>
      <c r="J134" s="573"/>
      <c r="K134" s="573"/>
      <c r="L134" s="573"/>
      <c r="M134" s="573"/>
      <c r="N134" s="573"/>
      <c r="O134" s="573"/>
      <c r="P134" s="573"/>
      <c r="Q134" s="573"/>
      <c r="R134" s="573"/>
      <c r="S134" s="574"/>
      <c r="T134" s="656"/>
      <c r="U134" s="5473"/>
      <c r="V134" s="5473"/>
      <c r="W134" s="1557"/>
      <c r="X134" s="1557"/>
      <c r="Y134" s="1557"/>
      <c r="Z134" s="1557"/>
      <c r="AA134" s="1557"/>
      <c r="AB134" s="1557"/>
      <c r="AC134" s="962"/>
      <c r="AD134" s="963"/>
      <c r="AE134" s="1557"/>
      <c r="AF134" s="1557"/>
      <c r="AG134" s="1557"/>
      <c r="AH134" s="1557"/>
      <c r="AI134" s="1557"/>
      <c r="AJ134" s="1557"/>
      <c r="AK134" s="1557"/>
      <c r="AL134" s="1557"/>
      <c r="AM134" s="1557"/>
      <c r="AN134" s="1557"/>
      <c r="AO134" s="1557"/>
      <c r="AP134" s="1557"/>
      <c r="AQ134" s="1557"/>
      <c r="AR134" s="1557"/>
      <c r="AS134" s="1557"/>
      <c r="AT134" s="1557"/>
      <c r="AU134" s="1557"/>
      <c r="AV134" s="1557"/>
      <c r="AW134" s="1557"/>
      <c r="AX134" s="1557"/>
      <c r="AY134" s="1557"/>
      <c r="AZ134" s="1557"/>
      <c r="BA134" s="1557"/>
      <c r="BB134" s="1557"/>
      <c r="BC134" s="1557"/>
      <c r="BD134" s="1557"/>
      <c r="BE134" s="1557"/>
      <c r="BF134" s="1557"/>
      <c r="BG134" s="1557"/>
      <c r="BH134" s="1557"/>
      <c r="BI134" s="1557"/>
      <c r="BJ134" s="1557"/>
      <c r="BK134" s="1557"/>
      <c r="BL134" s="1557"/>
      <c r="BM134" s="1557"/>
      <c r="BN134" s="1557"/>
      <c r="BO134" s="1557"/>
      <c r="BP134" s="1557"/>
      <c r="BQ134" s="1557"/>
      <c r="BR134" s="1557"/>
      <c r="BS134" s="1557"/>
      <c r="BT134" s="1557"/>
      <c r="BU134" s="1557"/>
      <c r="BV134" s="1557"/>
      <c r="BW134" s="1557"/>
      <c r="BX134" s="1557"/>
      <c r="BY134" s="1557"/>
      <c r="BZ134" s="1557"/>
      <c r="CA134" s="1557"/>
      <c r="CB134" s="1557"/>
      <c r="CC134" s="1557"/>
      <c r="CD134" s="1557"/>
      <c r="CE134" s="1557"/>
    </row>
    <row r="135" spans="1:83" s="4288" customFormat="1" ht="5.25" hidden="1" customHeight="1">
      <c r="A135" s="1713"/>
      <c r="B135" s="1557"/>
      <c r="C135" s="1557"/>
      <c r="D135" s="5689"/>
      <c r="E135" s="968"/>
      <c r="F135" s="969"/>
      <c r="G135" s="969"/>
      <c r="H135" s="970"/>
      <c r="I135" s="970"/>
      <c r="J135" s="970"/>
      <c r="K135" s="970"/>
      <c r="L135" s="970"/>
      <c r="M135" s="970"/>
      <c r="N135" s="970"/>
      <c r="O135" s="970"/>
      <c r="P135" s="970"/>
      <c r="Q135" s="970"/>
      <c r="R135" s="873"/>
      <c r="S135" s="971"/>
      <c r="T135" s="656"/>
      <c r="U135" s="5473"/>
      <c r="V135" s="5473"/>
      <c r="W135" s="1557"/>
      <c r="X135" s="1557"/>
      <c r="Y135" s="1557"/>
      <c r="Z135" s="1557"/>
      <c r="AA135" s="1557"/>
      <c r="AB135" s="1557"/>
      <c r="AC135" s="962"/>
      <c r="AD135" s="963"/>
      <c r="AE135" s="1557"/>
      <c r="AF135" s="1557"/>
      <c r="AG135" s="1557"/>
      <c r="AH135" s="1557"/>
      <c r="AI135" s="1557"/>
      <c r="AJ135" s="1557"/>
      <c r="AK135" s="1557"/>
      <c r="AL135" s="1557"/>
      <c r="AM135" s="1557"/>
      <c r="AN135" s="1557"/>
      <c r="AO135" s="1557"/>
      <c r="AP135" s="1557"/>
      <c r="AQ135" s="1557"/>
      <c r="AR135" s="1557"/>
      <c r="AS135" s="1557"/>
      <c r="AT135" s="1557"/>
      <c r="AU135" s="1557"/>
      <c r="AV135" s="1557"/>
      <c r="AW135" s="1557"/>
      <c r="AX135" s="1557"/>
      <c r="AY135" s="1557"/>
      <c r="AZ135" s="1557"/>
      <c r="BA135" s="1557"/>
      <c r="BB135" s="1557"/>
      <c r="BC135" s="1557"/>
      <c r="BD135" s="1557"/>
      <c r="BE135" s="1557"/>
      <c r="BF135" s="1557"/>
      <c r="BG135" s="1557"/>
      <c r="BH135" s="1557"/>
      <c r="BI135" s="1557"/>
      <c r="BJ135" s="1557"/>
      <c r="BK135" s="1557"/>
      <c r="BL135" s="1557"/>
      <c r="BM135" s="1557"/>
      <c r="BN135" s="1557"/>
      <c r="BO135" s="1557"/>
      <c r="BP135" s="1557"/>
      <c r="BQ135" s="1557"/>
      <c r="BR135" s="1557"/>
      <c r="BS135" s="1557"/>
      <c r="BT135" s="1557"/>
      <c r="BU135" s="1557"/>
      <c r="BV135" s="1557"/>
      <c r="BW135" s="1557"/>
      <c r="BX135" s="1557"/>
      <c r="BY135" s="1557"/>
      <c r="BZ135" s="1557"/>
      <c r="CA135" s="1557"/>
      <c r="CB135" s="1557"/>
      <c r="CC135" s="1557"/>
      <c r="CD135" s="1557"/>
      <c r="CE135" s="1557"/>
    </row>
    <row r="136" spans="1:83" ht="17.25" customHeight="1">
      <c r="D136" s="1754"/>
    </row>
    <row r="137" spans="1:83" s="5280" customFormat="1" ht="11.25" customHeight="1">
      <c r="A137" s="1735" t="s">
        <v>2031</v>
      </c>
    </row>
    <row r="139" spans="1:83" s="4278" customFormat="1" ht="45" customHeight="1">
      <c r="A139" s="1726"/>
      <c r="B139" s="1081"/>
      <c r="C139" s="350"/>
      <c r="D139" s="30"/>
      <c r="E139" s="5692"/>
      <c r="F139" s="5339" t="s">
        <v>136</v>
      </c>
      <c r="G139" s="5695" t="s">
        <v>28</v>
      </c>
      <c r="H139" s="227"/>
      <c r="I139" s="575" t="s">
        <v>136</v>
      </c>
      <c r="J139" s="1727" t="s">
        <v>2032</v>
      </c>
      <c r="K139" s="576" t="s">
        <v>638</v>
      </c>
      <c r="L139" s="5437" t="s">
        <v>638</v>
      </c>
      <c r="M139" s="5390"/>
      <c r="N139" s="576" t="s">
        <v>638</v>
      </c>
      <c r="O139" s="576" t="s">
        <v>638</v>
      </c>
      <c r="P139" s="576" t="s">
        <v>638</v>
      </c>
      <c r="Q139" s="577">
        <f>SUM(Q140:Q142)</f>
        <v>0</v>
      </c>
      <c r="R139" s="577">
        <f>IF(R136=0,0,(Q136/R136)*100)</f>
        <v>0</v>
      </c>
      <c r="S139" s="5413"/>
      <c r="T139" s="655" t="s">
        <v>704</v>
      </c>
      <c r="U139" s="30"/>
      <c r="V139" s="30"/>
      <c r="AC139" s="30"/>
    </row>
    <row r="140" spans="1:83" s="4278" customFormat="1" ht="11.25" customHeight="1">
      <c r="A140" s="1726"/>
      <c r="B140" s="1081"/>
      <c r="C140" s="350"/>
      <c r="D140" s="30"/>
      <c r="E140" s="5693"/>
      <c r="F140" s="5339"/>
      <c r="G140" s="5695"/>
      <c r="H140" s="5328"/>
      <c r="I140" s="5624" t="s">
        <v>1113</v>
      </c>
      <c r="J140" s="5690"/>
      <c r="K140" s="5691"/>
      <c r="L140" s="578"/>
      <c r="M140" s="579" t="s">
        <v>136</v>
      </c>
      <c r="N140" s="1715"/>
      <c r="O140" s="580"/>
      <c r="P140" s="581"/>
      <c r="Q140" s="580"/>
      <c r="R140" s="582">
        <v>0</v>
      </c>
      <c r="S140" s="5413"/>
      <c r="T140" s="655"/>
      <c r="U140" s="30"/>
      <c r="V140" s="30"/>
      <c r="AC140" s="30"/>
    </row>
    <row r="141" spans="1:83" s="4278" customFormat="1" ht="11.25" customHeight="1">
      <c r="A141" s="1726"/>
      <c r="B141" s="1081"/>
      <c r="C141" s="350"/>
      <c r="D141" s="30"/>
      <c r="E141" s="5693"/>
      <c r="F141" s="5339"/>
      <c r="G141" s="5695"/>
      <c r="H141" s="5328"/>
      <c r="I141" s="5624"/>
      <c r="J141" s="5690"/>
      <c r="K141" s="5401"/>
      <c r="L141" s="583"/>
      <c r="M141" s="584"/>
      <c r="N141" s="585" t="s">
        <v>2033</v>
      </c>
      <c r="O141" s="585"/>
      <c r="P141" s="585"/>
      <c r="Q141" s="585"/>
      <c r="R141" s="586"/>
      <c r="S141" s="5413"/>
      <c r="T141" s="655"/>
      <c r="U141" s="30"/>
      <c r="V141" s="30"/>
      <c r="AC141" s="30"/>
    </row>
    <row r="142" spans="1:83" s="4278" customFormat="1" ht="11.25" customHeight="1">
      <c r="A142" s="1726"/>
      <c r="B142" s="1081"/>
      <c r="C142" s="350"/>
      <c r="D142" s="30"/>
      <c r="E142" s="5694"/>
      <c r="F142" s="5339"/>
      <c r="G142" s="5696"/>
      <c r="H142" s="583" t="s">
        <v>28</v>
      </c>
      <c r="I142" s="584"/>
      <c r="J142" s="585" t="s">
        <v>2034</v>
      </c>
      <c r="K142" s="585"/>
      <c r="L142" s="585"/>
      <c r="M142" s="585"/>
      <c r="N142" s="585"/>
      <c r="O142" s="585"/>
      <c r="P142" s="585"/>
      <c r="Q142" s="585"/>
      <c r="R142" s="586"/>
      <c r="S142" s="5413"/>
      <c r="T142" s="655"/>
      <c r="U142" s="30"/>
      <c r="V142" s="30"/>
      <c r="AC142" s="30"/>
    </row>
    <row r="147" spans="1:43" s="4278" customFormat="1" ht="11.25" customHeight="1">
      <c r="A147" s="1726"/>
      <c r="B147" s="1081"/>
      <c r="C147" s="350"/>
      <c r="D147" s="30"/>
      <c r="E147" s="1748"/>
      <c r="F147" s="1748"/>
      <c r="G147" s="1748"/>
      <c r="H147" s="5328"/>
      <c r="I147" s="5624" t="s">
        <v>1113</v>
      </c>
      <c r="J147" s="5690"/>
      <c r="K147" s="5691"/>
      <c r="L147" s="578"/>
      <c r="M147" s="579" t="s">
        <v>136</v>
      </c>
      <c r="N147" s="1715"/>
      <c r="O147" s="580"/>
      <c r="P147" s="581"/>
      <c r="Q147" s="580"/>
      <c r="R147" s="582">
        <v>0</v>
      </c>
      <c r="S147" s="30"/>
      <c r="T147" s="655"/>
      <c r="U147" s="30"/>
      <c r="V147" s="30"/>
      <c r="AC147" s="30"/>
    </row>
    <row r="148" spans="1:43" s="4278" customFormat="1" ht="11.25" customHeight="1">
      <c r="A148" s="1726"/>
      <c r="B148" s="1081"/>
      <c r="C148" s="350"/>
      <c r="D148" s="30"/>
      <c r="E148" s="1748"/>
      <c r="F148" s="1748"/>
      <c r="G148" s="1748"/>
      <c r="H148" s="5328"/>
      <c r="I148" s="5624"/>
      <c r="J148" s="5690"/>
      <c r="K148" s="5401"/>
      <c r="L148" s="583"/>
      <c r="M148" s="584"/>
      <c r="N148" s="585" t="s">
        <v>2033</v>
      </c>
      <c r="O148" s="585"/>
      <c r="P148" s="585"/>
      <c r="Q148" s="585"/>
      <c r="R148" s="586"/>
      <c r="S148" s="30"/>
      <c r="T148" s="655"/>
      <c r="U148" s="30"/>
      <c r="V148" s="30"/>
      <c r="AC148" s="30"/>
    </row>
    <row r="150" spans="1:43" s="4278" customFormat="1" ht="11.25" customHeight="1">
      <c r="A150" s="1726"/>
      <c r="B150" s="1081"/>
      <c r="C150" s="350"/>
      <c r="D150" s="30"/>
      <c r="E150" s="1755"/>
      <c r="F150" s="1753"/>
      <c r="G150" s="1753"/>
      <c r="H150" s="1756"/>
      <c r="I150" s="1748"/>
      <c r="J150" s="1749"/>
      <c r="K150" s="1749"/>
      <c r="L150" s="578"/>
      <c r="M150" s="579" t="s">
        <v>136</v>
      </c>
      <c r="N150" s="1715"/>
      <c r="O150" s="580"/>
      <c r="P150" s="581"/>
      <c r="Q150" s="580"/>
      <c r="R150" s="582">
        <v>0</v>
      </c>
      <c r="S150" s="30"/>
      <c r="T150" s="655"/>
      <c r="U150" s="30"/>
      <c r="V150" s="30"/>
      <c r="AC150" s="30"/>
    </row>
    <row r="152" spans="1:43" s="5280" customFormat="1" ht="17.25" customHeight="1">
      <c r="A152" s="1735" t="s">
        <v>2035</v>
      </c>
    </row>
    <row r="153" spans="1:43" ht="17.25" customHeight="1">
      <c r="G153" s="1757"/>
      <c r="H153" s="1757"/>
      <c r="I153" s="1757"/>
      <c r="M153" s="1753"/>
    </row>
    <row r="154" spans="1:43" s="4284" customFormat="1" ht="17.25" customHeight="1">
      <c r="A154" s="1758"/>
      <c r="C154" s="1760"/>
      <c r="D154" s="5395"/>
      <c r="E154" s="5350"/>
      <c r="F154" s="5363"/>
      <c r="G154" s="5368"/>
      <c r="H154" s="5395"/>
      <c r="I154" s="5395">
        <v>1</v>
      </c>
      <c r="J154" s="5396"/>
      <c r="K154" s="5399" t="s">
        <v>66</v>
      </c>
      <c r="L154" s="5339"/>
      <c r="M154" s="5339" t="s">
        <v>136</v>
      </c>
      <c r="N154" s="5391" t="str">
        <f>IF(Z154="","",INDEX(TERRITORY_MR_LIST,MATCH(Z154,TERRITORY_LIST_ID,0)))</f>
        <v/>
      </c>
      <c r="O154" s="5399" t="s">
        <v>66</v>
      </c>
      <c r="P154" s="5339"/>
      <c r="Q154" s="5339" t="s">
        <v>136</v>
      </c>
      <c r="R154" s="5401" t="s">
        <v>28</v>
      </c>
      <c r="S154" s="5338" t="s">
        <v>66</v>
      </c>
      <c r="T154" s="1731"/>
      <c r="U154" s="1731" t="s">
        <v>136</v>
      </c>
      <c r="V154" s="1761" t="s">
        <v>28</v>
      </c>
      <c r="W154" s="1721"/>
      <c r="Y154" s="1188"/>
      <c r="Z154" s="1188"/>
      <c r="AA154" s="1188"/>
      <c r="AB154" s="1188"/>
      <c r="AC154" s="1188"/>
      <c r="AD154" s="1188"/>
      <c r="AE154" s="1188"/>
      <c r="AF154" s="1188"/>
      <c r="AG154" s="1188"/>
      <c r="AH154" s="1188"/>
      <c r="AI154" s="1188"/>
      <c r="AJ154" s="1188"/>
      <c r="AK154" s="1188"/>
      <c r="AL154" s="1762"/>
      <c r="AM154" s="1762"/>
      <c r="AN154" s="1188"/>
      <c r="AO154" s="1188"/>
      <c r="AP154" s="1188"/>
      <c r="AQ154" s="1188"/>
    </row>
    <row r="155" spans="1:43" s="4284" customFormat="1" ht="17.25" customHeight="1">
      <c r="A155" s="1758"/>
      <c r="C155" s="1763"/>
      <c r="D155" s="5395"/>
      <c r="E155" s="5350"/>
      <c r="F155" s="5364"/>
      <c r="G155" s="5368"/>
      <c r="H155" s="5395"/>
      <c r="I155" s="5395"/>
      <c r="J155" s="5396"/>
      <c r="K155" s="5400"/>
      <c r="L155" s="5339"/>
      <c r="M155" s="5339"/>
      <c r="N155" s="5391"/>
      <c r="O155" s="5400"/>
      <c r="P155" s="5339"/>
      <c r="Q155" s="5339"/>
      <c r="R155" s="5401"/>
      <c r="S155" s="5338"/>
      <c r="T155" s="255"/>
      <c r="U155" s="256"/>
      <c r="V155" s="256" t="s">
        <v>507</v>
      </c>
      <c r="W155" s="257"/>
      <c r="Y155" s="1180"/>
      <c r="Z155" s="1180"/>
      <c r="AA155" s="1180"/>
      <c r="AB155" s="1180"/>
      <c r="AC155" s="1180"/>
      <c r="AD155" s="1180"/>
      <c r="AE155" s="1180"/>
      <c r="AF155" s="1180"/>
      <c r="AG155" s="1180"/>
      <c r="AH155" s="1180"/>
      <c r="AI155" s="1180"/>
      <c r="AJ155" s="1180"/>
      <c r="AK155" s="1180"/>
    </row>
    <row r="156" spans="1:43" s="4284" customFormat="1" ht="17.25" customHeight="1">
      <c r="A156" s="1758"/>
      <c r="C156" s="1763"/>
      <c r="D156" s="5362"/>
      <c r="E156" s="5351"/>
      <c r="F156" s="5364"/>
      <c r="G156" s="5370"/>
      <c r="H156" s="5362"/>
      <c r="I156" s="5362"/>
      <c r="J156" s="5398"/>
      <c r="K156" s="5400"/>
      <c r="L156" s="5362"/>
      <c r="M156" s="5362"/>
      <c r="N156" s="5393"/>
      <c r="O156" s="5343"/>
      <c r="P156" s="255"/>
      <c r="Q156" s="256"/>
      <c r="R156" s="256" t="s">
        <v>312</v>
      </c>
      <c r="S156" s="1764"/>
      <c r="T156" s="1764"/>
      <c r="U156" s="1764"/>
      <c r="V156" s="1764"/>
      <c r="W156" s="257"/>
      <c r="Y156" s="1180"/>
      <c r="Z156" s="1180"/>
      <c r="AA156" s="1180"/>
      <c r="AB156" s="1180"/>
      <c r="AC156" s="1180"/>
      <c r="AD156" s="1180"/>
      <c r="AE156" s="1180"/>
      <c r="AF156" s="1180"/>
      <c r="AG156" s="1180"/>
      <c r="AH156" s="1180"/>
      <c r="AI156" s="1180"/>
      <c r="AJ156" s="1180"/>
      <c r="AK156" s="1180"/>
    </row>
    <row r="157" spans="1:43" s="4284" customFormat="1" ht="17.25" customHeight="1">
      <c r="A157" s="1758"/>
      <c r="C157" s="1763"/>
      <c r="D157" s="5362"/>
      <c r="E157" s="5351"/>
      <c r="F157" s="5364"/>
      <c r="G157" s="5370"/>
      <c r="H157" s="5362"/>
      <c r="I157" s="5362"/>
      <c r="J157" s="5398"/>
      <c r="K157" s="5343"/>
      <c r="L157" s="255"/>
      <c r="M157" s="256"/>
      <c r="N157" s="256" t="s">
        <v>360</v>
      </c>
      <c r="O157" s="256"/>
      <c r="P157" s="256"/>
      <c r="Q157" s="256"/>
      <c r="R157" s="256"/>
      <c r="S157" s="1764"/>
      <c r="T157" s="1764"/>
      <c r="U157" s="1764"/>
      <c r="V157" s="1764"/>
      <c r="W157" s="257"/>
      <c r="Y157" s="1180"/>
      <c r="Z157" s="1180"/>
      <c r="AA157" s="1180"/>
      <c r="AB157" s="1180"/>
      <c r="AC157" s="1180"/>
      <c r="AD157" s="1180"/>
      <c r="AE157" s="1180"/>
      <c r="AF157" s="1180"/>
      <c r="AG157" s="1180"/>
      <c r="AH157" s="1180"/>
      <c r="AI157" s="1180"/>
      <c r="AJ157" s="1180"/>
      <c r="AK157" s="1180"/>
    </row>
    <row r="158" spans="1:43" s="4284" customFormat="1" ht="17.25" customHeight="1">
      <c r="A158" s="1758"/>
      <c r="C158" s="1763"/>
      <c r="D158" s="5362"/>
      <c r="E158" s="5351"/>
      <c r="F158" s="5365"/>
      <c r="G158" s="5370"/>
      <c r="H158" s="255"/>
      <c r="I158" s="256"/>
      <c r="J158" s="256" t="s">
        <v>361</v>
      </c>
      <c r="K158" s="256"/>
      <c r="L158" s="256"/>
      <c r="M158" s="256"/>
      <c r="N158" s="256"/>
      <c r="O158" s="256"/>
      <c r="P158" s="256"/>
      <c r="Q158" s="256"/>
      <c r="R158" s="256"/>
      <c r="S158" s="1764"/>
      <c r="T158" s="1764"/>
      <c r="U158" s="1764"/>
      <c r="V158" s="1764"/>
      <c r="W158" s="257"/>
      <c r="Y158" s="1180"/>
      <c r="Z158" s="1180"/>
      <c r="AA158" s="1180"/>
      <c r="AB158" s="1180"/>
      <c r="AC158" s="1180"/>
      <c r="AD158" s="1180"/>
      <c r="AE158" s="1180"/>
      <c r="AF158" s="1180"/>
      <c r="AG158" s="1180"/>
      <c r="AH158" s="1180"/>
      <c r="AI158" s="1180"/>
      <c r="AJ158" s="1180"/>
      <c r="AK158" s="1180"/>
    </row>
    <row r="159" spans="1:43" ht="17.25" customHeight="1">
      <c r="G159" s="1757"/>
      <c r="H159" s="1757"/>
      <c r="I159" s="1757"/>
      <c r="M159" s="1753"/>
    </row>
    <row r="160" spans="1:43" s="4284" customFormat="1" ht="17.25" customHeight="1">
      <c r="A160" s="1758"/>
      <c r="C160" s="1760"/>
      <c r="D160" s="1748"/>
      <c r="E160" s="1765"/>
      <c r="F160" s="1704"/>
      <c r="G160" s="1766"/>
      <c r="H160" s="5395"/>
      <c r="I160" s="5395">
        <v>1</v>
      </c>
      <c r="J160" s="5396"/>
      <c r="K160" s="5399" t="s">
        <v>66</v>
      </c>
      <c r="L160" s="5339"/>
      <c r="M160" s="5339" t="s">
        <v>136</v>
      </c>
      <c r="N160" s="5391" t="str">
        <f>IF(Z160="","",INDEX(TERRITORY_MR_LIST,MATCH(Z160,TERRITORY_LIST_ID,0)))</f>
        <v/>
      </c>
      <c r="O160" s="5399" t="s">
        <v>66</v>
      </c>
      <c r="P160" s="5339"/>
      <c r="Q160" s="5339" t="s">
        <v>136</v>
      </c>
      <c r="R160" s="5401" t="s">
        <v>28</v>
      </c>
      <c r="S160" s="5338" t="s">
        <v>66</v>
      </c>
      <c r="T160" s="1731"/>
      <c r="U160" s="1731" t="s">
        <v>136</v>
      </c>
      <c r="V160" s="1761" t="s">
        <v>28</v>
      </c>
      <c r="W160" s="1721"/>
      <c r="Y160" s="1188"/>
      <c r="Z160" s="1188"/>
      <c r="AA160" s="1188"/>
      <c r="AB160" s="1188"/>
      <c r="AC160" s="1188"/>
      <c r="AD160" s="1188"/>
      <c r="AE160" s="1188"/>
      <c r="AF160" s="1188"/>
      <c r="AG160" s="1188"/>
      <c r="AH160" s="1188"/>
      <c r="AI160" s="1188"/>
      <c r="AJ160" s="1188"/>
      <c r="AK160" s="1188"/>
      <c r="AL160" s="1762"/>
      <c r="AM160" s="1762"/>
      <c r="AN160" s="1188"/>
      <c r="AO160" s="1188"/>
      <c r="AP160" s="1188"/>
      <c r="AQ160" s="1188"/>
    </row>
    <row r="161" spans="1:43" s="4284" customFormat="1" ht="17.25" customHeight="1">
      <c r="A161" s="1758"/>
      <c r="C161" s="1763"/>
      <c r="D161" s="1748"/>
      <c r="E161" s="1765"/>
      <c r="F161" s="1704"/>
      <c r="G161" s="1766"/>
      <c r="H161" s="5395"/>
      <c r="I161" s="5395"/>
      <c r="J161" s="5396"/>
      <c r="K161" s="5400"/>
      <c r="L161" s="5339"/>
      <c r="M161" s="5339"/>
      <c r="N161" s="5391"/>
      <c r="O161" s="5400"/>
      <c r="P161" s="5339"/>
      <c r="Q161" s="5339"/>
      <c r="R161" s="5401"/>
      <c r="S161" s="5338"/>
      <c r="T161" s="255"/>
      <c r="U161" s="256"/>
      <c r="V161" s="256" t="s">
        <v>507</v>
      </c>
      <c r="W161" s="257"/>
      <c r="Y161" s="1180"/>
      <c r="Z161" s="1180"/>
      <c r="AA161" s="1180"/>
      <c r="AB161" s="1180"/>
      <c r="AC161" s="1180"/>
      <c r="AD161" s="1180"/>
      <c r="AE161" s="1180"/>
      <c r="AF161" s="1180"/>
      <c r="AG161" s="1180"/>
      <c r="AH161" s="1180"/>
      <c r="AI161" s="1180"/>
      <c r="AJ161" s="1180"/>
      <c r="AK161" s="1180"/>
    </row>
    <row r="162" spans="1:43" s="4284" customFormat="1" ht="17.25" customHeight="1">
      <c r="A162" s="1758"/>
      <c r="C162" s="1763"/>
      <c r="D162" s="1748"/>
      <c r="E162" s="1765"/>
      <c r="F162" s="1704"/>
      <c r="G162" s="1766"/>
      <c r="H162" s="5362"/>
      <c r="I162" s="5362"/>
      <c r="J162" s="5398"/>
      <c r="K162" s="5400"/>
      <c r="L162" s="5362"/>
      <c r="M162" s="5362"/>
      <c r="N162" s="5393"/>
      <c r="O162" s="5343"/>
      <c r="P162" s="255"/>
      <c r="Q162" s="256"/>
      <c r="R162" s="256" t="s">
        <v>312</v>
      </c>
      <c r="S162" s="1764"/>
      <c r="T162" s="1764"/>
      <c r="U162" s="1764"/>
      <c r="V162" s="1764"/>
      <c r="W162" s="257"/>
      <c r="Y162" s="1180"/>
      <c r="Z162" s="1180"/>
      <c r="AA162" s="1180"/>
      <c r="AB162" s="1180"/>
      <c r="AC162" s="1180"/>
      <c r="AD162" s="1180"/>
      <c r="AE162" s="1180"/>
      <c r="AF162" s="1180"/>
      <c r="AG162" s="1180"/>
      <c r="AH162" s="1180"/>
      <c r="AI162" s="1180"/>
      <c r="AJ162" s="1180"/>
      <c r="AK162" s="1180"/>
    </row>
    <row r="163" spans="1:43" s="4284" customFormat="1" ht="17.25" customHeight="1">
      <c r="A163" s="1758"/>
      <c r="C163" s="1763"/>
      <c r="D163" s="1748"/>
      <c r="E163" s="1765"/>
      <c r="F163" s="1704"/>
      <c r="G163" s="1766"/>
      <c r="H163" s="5362"/>
      <c r="I163" s="5362"/>
      <c r="J163" s="5398"/>
      <c r="K163" s="5343"/>
      <c r="L163" s="255"/>
      <c r="M163" s="256"/>
      <c r="N163" s="256" t="s">
        <v>360</v>
      </c>
      <c r="O163" s="256"/>
      <c r="P163" s="256"/>
      <c r="Q163" s="256"/>
      <c r="R163" s="256"/>
      <c r="S163" s="1764"/>
      <c r="T163" s="1764"/>
      <c r="U163" s="1764"/>
      <c r="V163" s="1764"/>
      <c r="W163" s="257"/>
      <c r="Y163" s="1180"/>
      <c r="Z163" s="1180"/>
      <c r="AA163" s="1180"/>
      <c r="AB163" s="1180"/>
      <c r="AC163" s="1180"/>
      <c r="AD163" s="1180"/>
      <c r="AE163" s="1180"/>
      <c r="AF163" s="1180"/>
      <c r="AG163" s="1180"/>
      <c r="AH163" s="1180"/>
      <c r="AI163" s="1180"/>
      <c r="AJ163" s="1180"/>
      <c r="AK163" s="1180"/>
    </row>
    <row r="164" spans="1:43" ht="17.25" customHeight="1">
      <c r="G164" s="1757"/>
      <c r="H164" s="1757"/>
      <c r="I164" s="1757"/>
      <c r="M164" s="1753"/>
    </row>
    <row r="165" spans="1:43" s="4284" customFormat="1" ht="17.25" customHeight="1">
      <c r="A165" s="1758"/>
      <c r="C165" s="1760"/>
      <c r="D165" s="1748"/>
      <c r="E165" s="1765"/>
      <c r="F165" s="1704"/>
      <c r="G165" s="1766"/>
      <c r="H165" s="1748"/>
      <c r="I165" s="1748"/>
      <c r="J165" s="1767"/>
      <c r="K165" s="1680"/>
      <c r="L165" s="5339"/>
      <c r="M165" s="5339" t="s">
        <v>136</v>
      </c>
      <c r="N165" s="5391" t="str">
        <f>IF(Z165="","",INDEX(TERRITORY_MR_LIST,MATCH(Z165,TERRITORY_LIST_ID,0)))</f>
        <v/>
      </c>
      <c r="O165" s="5399" t="s">
        <v>66</v>
      </c>
      <c r="P165" s="5339"/>
      <c r="Q165" s="5339" t="s">
        <v>136</v>
      </c>
      <c r="R165" s="5401" t="s">
        <v>28</v>
      </c>
      <c r="S165" s="5338" t="s">
        <v>66</v>
      </c>
      <c r="T165" s="1731"/>
      <c r="U165" s="1731" t="s">
        <v>136</v>
      </c>
      <c r="V165" s="1761" t="s">
        <v>28</v>
      </c>
      <c r="W165" s="1721"/>
      <c r="Y165" s="1188"/>
      <c r="Z165" s="1188"/>
      <c r="AA165" s="1188"/>
      <c r="AB165" s="1188"/>
      <c r="AC165" s="1188"/>
      <c r="AD165" s="1188"/>
      <c r="AE165" s="1188"/>
      <c r="AF165" s="1188"/>
      <c r="AG165" s="1188"/>
      <c r="AH165" s="1188"/>
      <c r="AI165" s="1188"/>
      <c r="AJ165" s="1188"/>
      <c r="AK165" s="1188"/>
      <c r="AL165" s="1762"/>
      <c r="AM165" s="1762"/>
      <c r="AN165" s="1188"/>
      <c r="AO165" s="1188"/>
      <c r="AP165" s="1188"/>
      <c r="AQ165" s="1188"/>
    </row>
    <row r="166" spans="1:43" s="4284" customFormat="1" ht="17.25" customHeight="1">
      <c r="A166" s="1758"/>
      <c r="C166" s="1763"/>
      <c r="D166" s="1748"/>
      <c r="E166" s="1765"/>
      <c r="F166" s="1704"/>
      <c r="G166" s="1766"/>
      <c r="H166" s="1748"/>
      <c r="I166" s="1748"/>
      <c r="J166" s="1767"/>
      <c r="K166" s="1680"/>
      <c r="L166" s="5339"/>
      <c r="M166" s="5339"/>
      <c r="N166" s="5391"/>
      <c r="O166" s="5400"/>
      <c r="P166" s="5339"/>
      <c r="Q166" s="5339"/>
      <c r="R166" s="5401"/>
      <c r="S166" s="5338"/>
      <c r="T166" s="255"/>
      <c r="U166" s="256"/>
      <c r="V166" s="256" t="s">
        <v>507</v>
      </c>
      <c r="W166" s="257"/>
      <c r="Y166" s="1180"/>
      <c r="Z166" s="1180"/>
      <c r="AA166" s="1180"/>
      <c r="AB166" s="1180"/>
      <c r="AC166" s="1180"/>
      <c r="AD166" s="1180"/>
      <c r="AE166" s="1180"/>
      <c r="AF166" s="1180"/>
      <c r="AG166" s="1180"/>
      <c r="AH166" s="1180"/>
      <c r="AI166" s="1180"/>
      <c r="AJ166" s="1180"/>
      <c r="AK166" s="1180"/>
    </row>
    <row r="167" spans="1:43" s="4284" customFormat="1" ht="17.25" customHeight="1">
      <c r="A167" s="1758"/>
      <c r="C167" s="1763"/>
      <c r="D167" s="1748"/>
      <c r="E167" s="1765"/>
      <c r="F167" s="1704"/>
      <c r="G167" s="1766"/>
      <c r="H167" s="1748"/>
      <c r="I167" s="1748"/>
      <c r="J167" s="1767"/>
      <c r="K167" s="1680"/>
      <c r="L167" s="5362"/>
      <c r="M167" s="5362"/>
      <c r="N167" s="5393"/>
      <c r="O167" s="5343"/>
      <c r="P167" s="255"/>
      <c r="Q167" s="256"/>
      <c r="R167" s="256" t="s">
        <v>312</v>
      </c>
      <c r="S167" s="1764"/>
      <c r="T167" s="1764"/>
      <c r="U167" s="1764"/>
      <c r="V167" s="1764"/>
      <c r="W167" s="257"/>
      <c r="Y167" s="1180"/>
      <c r="Z167" s="1180"/>
      <c r="AA167" s="1180"/>
      <c r="AB167" s="1180"/>
      <c r="AC167" s="1180"/>
      <c r="AD167" s="1180"/>
      <c r="AE167" s="1180"/>
      <c r="AF167" s="1180"/>
      <c r="AG167" s="1180"/>
      <c r="AH167" s="1180"/>
      <c r="AI167" s="1180"/>
      <c r="AJ167" s="1180"/>
      <c r="AK167" s="1180"/>
    </row>
    <row r="168" spans="1:43" ht="17.25" customHeight="1">
      <c r="G168" s="1757"/>
      <c r="H168" s="1757"/>
      <c r="I168" s="1757"/>
      <c r="M168" s="1753"/>
    </row>
    <row r="169" spans="1:43" s="4284" customFormat="1" ht="17.25" customHeight="1">
      <c r="A169" s="1758"/>
      <c r="C169" s="1760"/>
      <c r="D169" s="1748"/>
      <c r="E169" s="1765"/>
      <c r="F169" s="1704"/>
      <c r="G169" s="1766"/>
      <c r="H169" s="1748"/>
      <c r="I169" s="1748"/>
      <c r="J169" s="1767"/>
      <c r="K169" s="1680"/>
      <c r="L169" s="1676"/>
      <c r="M169" s="1676"/>
      <c r="N169" s="1963"/>
      <c r="O169" s="1707"/>
      <c r="P169" s="5339"/>
      <c r="Q169" s="5339" t="s">
        <v>136</v>
      </c>
      <c r="R169" s="5401" t="s">
        <v>28</v>
      </c>
      <c r="S169" s="5338" t="s">
        <v>66</v>
      </c>
      <c r="T169" s="1731"/>
      <c r="U169" s="1731" t="s">
        <v>136</v>
      </c>
      <c r="V169" s="1761" t="s">
        <v>28</v>
      </c>
      <c r="W169" s="1721"/>
      <c r="Y169" s="1188"/>
      <c r="Z169" s="1188"/>
      <c r="AA169" s="1188"/>
      <c r="AB169" s="1188"/>
      <c r="AC169" s="1188"/>
      <c r="AD169" s="1188"/>
      <c r="AE169" s="1188"/>
      <c r="AF169" s="1188"/>
      <c r="AG169" s="1188"/>
      <c r="AH169" s="1188"/>
      <c r="AI169" s="1188"/>
      <c r="AJ169" s="1188"/>
      <c r="AK169" s="1188"/>
      <c r="AL169" s="1762"/>
      <c r="AM169" s="1762"/>
      <c r="AN169" s="1188"/>
      <c r="AO169" s="1188"/>
      <c r="AP169" s="1188"/>
      <c r="AQ169" s="1188"/>
    </row>
    <row r="170" spans="1:43" s="4284" customFormat="1" ht="17.25" customHeight="1">
      <c r="A170" s="1758"/>
      <c r="C170" s="1763"/>
      <c r="D170" s="1748"/>
      <c r="E170" s="1765"/>
      <c r="F170" s="1704"/>
      <c r="G170" s="1766"/>
      <c r="H170" s="1748"/>
      <c r="I170" s="1748"/>
      <c r="J170" s="1767"/>
      <c r="K170" s="1680"/>
      <c r="L170" s="1676"/>
      <c r="M170" s="1676"/>
      <c r="N170" s="1963"/>
      <c r="O170" s="1707"/>
      <c r="P170" s="5339"/>
      <c r="Q170" s="5339"/>
      <c r="R170" s="5401"/>
      <c r="S170" s="5338"/>
      <c r="T170" s="255"/>
      <c r="U170" s="256"/>
      <c r="V170" s="256" t="s">
        <v>507</v>
      </c>
      <c r="W170" s="257"/>
      <c r="Y170" s="1180"/>
      <c r="Z170" s="1180"/>
      <c r="AA170" s="1180"/>
      <c r="AB170" s="1180"/>
      <c r="AC170" s="1180"/>
      <c r="AD170" s="1180"/>
      <c r="AE170" s="1180"/>
      <c r="AF170" s="1180"/>
      <c r="AG170" s="1180"/>
      <c r="AH170" s="1180"/>
      <c r="AI170" s="1180"/>
      <c r="AJ170" s="1180"/>
      <c r="AK170" s="1180"/>
    </row>
    <row r="171" spans="1:43" ht="17.25" customHeight="1">
      <c r="G171" s="1757"/>
      <c r="H171" s="1757"/>
      <c r="I171" s="1757"/>
      <c r="M171" s="1753"/>
    </row>
    <row r="172" spans="1:43" s="4284" customFormat="1" ht="17.25" customHeight="1">
      <c r="A172" s="1758"/>
      <c r="C172" s="1760"/>
      <c r="D172" s="1748"/>
      <c r="E172" s="1765"/>
      <c r="F172" s="1704"/>
      <c r="G172" s="1766"/>
      <c r="H172" s="1676"/>
      <c r="I172" s="1676"/>
      <c r="J172" s="1677"/>
      <c r="K172" s="1766"/>
      <c r="L172" s="1676"/>
      <c r="M172" s="1676"/>
      <c r="N172" s="1766"/>
      <c r="O172" s="1766"/>
      <c r="P172" s="1676"/>
      <c r="Q172" s="1676"/>
      <c r="R172" s="1678"/>
      <c r="S172" s="1766"/>
      <c r="T172" s="1731"/>
      <c r="U172" s="1731" t="s">
        <v>136</v>
      </c>
      <c r="V172" s="1761" t="s">
        <v>28</v>
      </c>
      <c r="W172" s="1721"/>
      <c r="Y172" s="1188"/>
      <c r="Z172" s="1188"/>
      <c r="AA172" s="1188"/>
      <c r="AB172" s="1188"/>
      <c r="AC172" s="1188"/>
      <c r="AD172" s="1188"/>
      <c r="AE172" s="1188"/>
      <c r="AF172" s="1188"/>
      <c r="AG172" s="1188"/>
      <c r="AH172" s="1188"/>
      <c r="AI172" s="1188"/>
      <c r="AJ172" s="1188"/>
      <c r="AK172" s="1188"/>
      <c r="AL172" s="1762"/>
      <c r="AM172" s="1762"/>
      <c r="AN172" s="1188"/>
      <c r="AO172" s="1188"/>
      <c r="AP172" s="1188"/>
      <c r="AQ172" s="1188"/>
    </row>
    <row r="174" spans="1:43" s="5280" customFormat="1" ht="17.25" customHeight="1">
      <c r="A174" s="1735" t="s">
        <v>2036</v>
      </c>
    </row>
    <row r="175" spans="1:43" ht="17.25" customHeight="1">
      <c r="G175" s="1757"/>
      <c r="H175" s="1757"/>
      <c r="I175" s="1757"/>
      <c r="M175" s="1753"/>
    </row>
    <row r="176" spans="1:43" s="4284" customFormat="1" ht="17.25" customHeight="1">
      <c r="A176" s="1758"/>
      <c r="C176" s="1760"/>
      <c r="D176" s="5395"/>
      <c r="E176" s="5350"/>
      <c r="F176" s="5363"/>
      <c r="G176" s="5368"/>
      <c r="H176" s="5395"/>
      <c r="I176" s="5395">
        <v>1</v>
      </c>
      <c r="J176" s="5396"/>
      <c r="K176" s="5399" t="s">
        <v>66</v>
      </c>
      <c r="L176" s="5339"/>
      <c r="M176" s="5339" t="s">
        <v>136</v>
      </c>
      <c r="N176" s="5391" t="str">
        <f>IF(Z176="","",INDEX(TERRITORY_MR_LIST,MATCH(Z176,TERRITORY_LIST_ID,0)))</f>
        <v/>
      </c>
      <c r="O176" s="5399" t="s">
        <v>66</v>
      </c>
      <c r="P176" s="5339"/>
      <c r="Q176" s="5339" t="s">
        <v>136</v>
      </c>
      <c r="R176" s="5401" t="s">
        <v>28</v>
      </c>
      <c r="S176" s="5394" t="s">
        <v>19</v>
      </c>
      <c r="T176" s="1722"/>
      <c r="U176" s="1722" t="s">
        <v>136</v>
      </c>
      <c r="V176" s="1355"/>
      <c r="W176" s="5396"/>
      <c r="Y176" s="1188"/>
      <c r="Z176" s="1188"/>
      <c r="AA176" s="1188"/>
      <c r="AB176" s="1188"/>
      <c r="AC176" s="1188"/>
      <c r="AD176" s="1188"/>
      <c r="AE176" s="1188"/>
      <c r="AF176" s="1188"/>
      <c r="AG176" s="1188"/>
      <c r="AH176" s="1188"/>
      <c r="AI176" s="1188"/>
      <c r="AJ176" s="1188"/>
      <c r="AK176" s="1188"/>
      <c r="AL176" s="1762"/>
      <c r="AM176" s="1762"/>
      <c r="AN176" s="1188"/>
      <c r="AO176" s="1188"/>
      <c r="AP176" s="1188"/>
      <c r="AQ176" s="1188"/>
    </row>
    <row r="177" spans="1:43" s="4284" customFormat="1" ht="17.25" customHeight="1">
      <c r="A177" s="1758"/>
      <c r="C177" s="1763"/>
      <c r="D177" s="5395"/>
      <c r="E177" s="5350"/>
      <c r="F177" s="5364"/>
      <c r="G177" s="5368"/>
      <c r="H177" s="5395"/>
      <c r="I177" s="5395"/>
      <c r="J177" s="5396"/>
      <c r="K177" s="5400"/>
      <c r="L177" s="5339"/>
      <c r="M177" s="5339"/>
      <c r="N177" s="5391"/>
      <c r="O177" s="5400"/>
      <c r="P177" s="5339"/>
      <c r="Q177" s="5339"/>
      <c r="R177" s="5401"/>
      <c r="S177" s="5394"/>
      <c r="T177" s="1356"/>
      <c r="U177" s="1357"/>
      <c r="V177" s="1357"/>
      <c r="W177" s="5396"/>
      <c r="Y177" s="1180"/>
      <c r="Z177" s="1180"/>
      <c r="AA177" s="1180"/>
      <c r="AB177" s="1180"/>
      <c r="AC177" s="1180"/>
      <c r="AD177" s="1180"/>
      <c r="AE177" s="1180"/>
      <c r="AF177" s="1180"/>
      <c r="AG177" s="1180"/>
      <c r="AH177" s="1180"/>
      <c r="AI177" s="1180"/>
      <c r="AJ177" s="1180"/>
      <c r="AK177" s="1180"/>
    </row>
    <row r="178" spans="1:43" s="4284" customFormat="1" ht="17.25" customHeight="1">
      <c r="A178" s="1758"/>
      <c r="C178" s="1763"/>
      <c r="D178" s="5362"/>
      <c r="E178" s="5351"/>
      <c r="F178" s="5364"/>
      <c r="G178" s="5370"/>
      <c r="H178" s="5362"/>
      <c r="I178" s="5362"/>
      <c r="J178" s="5398"/>
      <c r="K178" s="5400"/>
      <c r="L178" s="5362"/>
      <c r="M178" s="5362"/>
      <c r="N178" s="5393"/>
      <c r="O178" s="5343"/>
      <c r="P178" s="255"/>
      <c r="Q178" s="256"/>
      <c r="R178" s="256" t="s">
        <v>312</v>
      </c>
      <c r="S178" s="1764"/>
      <c r="T178" s="1764"/>
      <c r="U178" s="1764"/>
      <c r="V178" s="1764"/>
      <c r="W178" s="1354"/>
      <c r="Y178" s="1180"/>
      <c r="Z178" s="1180"/>
      <c r="AA178" s="1180"/>
      <c r="AB178" s="1180"/>
      <c r="AC178" s="1180"/>
      <c r="AD178" s="1180"/>
      <c r="AE178" s="1180"/>
      <c r="AF178" s="1180"/>
      <c r="AG178" s="1180"/>
      <c r="AH178" s="1180"/>
      <c r="AI178" s="1180"/>
      <c r="AJ178" s="1180"/>
      <c r="AK178" s="1180"/>
    </row>
    <row r="179" spans="1:43" s="4284" customFormat="1" ht="17.25" customHeight="1">
      <c r="A179" s="1758"/>
      <c r="C179" s="1763"/>
      <c r="D179" s="5362"/>
      <c r="E179" s="5351"/>
      <c r="F179" s="5364"/>
      <c r="G179" s="5370"/>
      <c r="H179" s="5362"/>
      <c r="I179" s="5362"/>
      <c r="J179" s="5398"/>
      <c r="K179" s="5343"/>
      <c r="L179" s="255"/>
      <c r="M179" s="256"/>
      <c r="N179" s="256" t="s">
        <v>360</v>
      </c>
      <c r="O179" s="256"/>
      <c r="P179" s="256"/>
      <c r="Q179" s="256"/>
      <c r="R179" s="256"/>
      <c r="S179" s="1764"/>
      <c r="T179" s="1764"/>
      <c r="U179" s="1764"/>
      <c r="V179" s="1764"/>
      <c r="W179" s="257"/>
      <c r="Y179" s="1180"/>
      <c r="Z179" s="1180"/>
      <c r="AA179" s="1180"/>
      <c r="AB179" s="1180"/>
      <c r="AC179" s="1180"/>
      <c r="AD179" s="1180"/>
      <c r="AE179" s="1180"/>
      <c r="AF179" s="1180"/>
      <c r="AG179" s="1180"/>
      <c r="AH179" s="1180"/>
      <c r="AI179" s="1180"/>
      <c r="AJ179" s="1180"/>
      <c r="AK179" s="1180"/>
    </row>
    <row r="180" spans="1:43" s="4284" customFormat="1" ht="17.25" customHeight="1">
      <c r="A180" s="1758"/>
      <c r="C180" s="1763"/>
      <c r="D180" s="5362"/>
      <c r="E180" s="5351"/>
      <c r="F180" s="5365"/>
      <c r="G180" s="5370"/>
      <c r="H180" s="255"/>
      <c r="I180" s="256"/>
      <c r="J180" s="256" t="s">
        <v>361</v>
      </c>
      <c r="K180" s="256"/>
      <c r="L180" s="256"/>
      <c r="M180" s="256"/>
      <c r="N180" s="256"/>
      <c r="O180" s="256"/>
      <c r="P180" s="256"/>
      <c r="Q180" s="256"/>
      <c r="R180" s="256"/>
      <c r="S180" s="1764"/>
      <c r="T180" s="1764"/>
      <c r="U180" s="1764"/>
      <c r="V180" s="1764"/>
      <c r="W180" s="257"/>
      <c r="Y180" s="1180"/>
      <c r="Z180" s="1180"/>
      <c r="AA180" s="1180"/>
      <c r="AB180" s="1180"/>
      <c r="AC180" s="1180"/>
      <c r="AD180" s="1180"/>
      <c r="AE180" s="1180"/>
      <c r="AF180" s="1180"/>
      <c r="AG180" s="1180"/>
      <c r="AH180" s="1180"/>
      <c r="AI180" s="1180"/>
      <c r="AJ180" s="1180"/>
      <c r="AK180" s="1180"/>
    </row>
    <row r="181" spans="1:43" ht="17.25" customHeight="1">
      <c r="A181" s="1768"/>
    </row>
    <row r="182" spans="1:43" s="4284" customFormat="1" ht="17.25" customHeight="1">
      <c r="A182" s="1758"/>
      <c r="C182" s="1760"/>
      <c r="D182" s="1748"/>
      <c r="E182" s="1765"/>
      <c r="F182" s="1704"/>
      <c r="G182" s="1766"/>
      <c r="H182" s="5395"/>
      <c r="I182" s="5395">
        <v>1</v>
      </c>
      <c r="J182" s="5396"/>
      <c r="K182" s="5399" t="s">
        <v>66</v>
      </c>
      <c r="L182" s="5339"/>
      <c r="M182" s="5339" t="s">
        <v>136</v>
      </c>
      <c r="N182" s="5391" t="str">
        <f>IF(Z182="","",INDEX(TERRITORY_MR_LIST,MATCH(Z182,TERRITORY_LIST_ID,0)))</f>
        <v/>
      </c>
      <c r="O182" s="5399" t="s">
        <v>66</v>
      </c>
      <c r="P182" s="5339"/>
      <c r="Q182" s="5339" t="s">
        <v>136</v>
      </c>
      <c r="R182" s="5401" t="s">
        <v>28</v>
      </c>
      <c r="S182" s="5394" t="s">
        <v>19</v>
      </c>
      <c r="T182" s="1722"/>
      <c r="U182" s="1722" t="s">
        <v>136</v>
      </c>
      <c r="V182" s="1355"/>
      <c r="W182" s="5396"/>
      <c r="Y182" s="1188"/>
      <c r="Z182" s="1188"/>
      <c r="AA182" s="1188"/>
      <c r="AB182" s="1188"/>
      <c r="AC182" s="1188"/>
      <c r="AD182" s="1188"/>
      <c r="AE182" s="1188"/>
      <c r="AF182" s="1188"/>
      <c r="AG182" s="1188"/>
      <c r="AH182" s="1188"/>
      <c r="AI182" s="1188"/>
      <c r="AJ182" s="1188"/>
      <c r="AK182" s="1188"/>
      <c r="AL182" s="1762"/>
      <c r="AM182" s="1762"/>
      <c r="AN182" s="1188"/>
      <c r="AO182" s="1188"/>
      <c r="AP182" s="1188"/>
      <c r="AQ182" s="1188"/>
    </row>
    <row r="183" spans="1:43" s="4284" customFormat="1" ht="17.25" customHeight="1">
      <c r="A183" s="1758"/>
      <c r="C183" s="1763"/>
      <c r="D183" s="1748"/>
      <c r="E183" s="1765"/>
      <c r="F183" s="1704"/>
      <c r="G183" s="1766"/>
      <c r="H183" s="5395"/>
      <c r="I183" s="5395"/>
      <c r="J183" s="5396"/>
      <c r="K183" s="5400"/>
      <c r="L183" s="5339"/>
      <c r="M183" s="5339"/>
      <c r="N183" s="5391"/>
      <c r="O183" s="5400"/>
      <c r="P183" s="5339"/>
      <c r="Q183" s="5339"/>
      <c r="R183" s="5401"/>
      <c r="S183" s="5394"/>
      <c r="T183" s="1356"/>
      <c r="U183" s="1357"/>
      <c r="V183" s="1357"/>
      <c r="W183" s="5396"/>
      <c r="Y183" s="1180"/>
      <c r="Z183" s="1180"/>
      <c r="AA183" s="1180"/>
      <c r="AB183" s="1180"/>
      <c r="AC183" s="1180"/>
      <c r="AD183" s="1180"/>
      <c r="AE183" s="1180"/>
      <c r="AF183" s="1180"/>
      <c r="AG183" s="1180"/>
      <c r="AH183" s="1180"/>
      <c r="AI183" s="1180"/>
      <c r="AJ183" s="1180"/>
      <c r="AK183" s="1180"/>
    </row>
    <row r="184" spans="1:43" s="4284" customFormat="1" ht="17.25" customHeight="1">
      <c r="A184" s="1758"/>
      <c r="C184" s="1763"/>
      <c r="D184" s="1748"/>
      <c r="E184" s="1765"/>
      <c r="F184" s="1704"/>
      <c r="G184" s="1766"/>
      <c r="H184" s="5362"/>
      <c r="I184" s="5362"/>
      <c r="J184" s="5398"/>
      <c r="K184" s="5400"/>
      <c r="L184" s="5362"/>
      <c r="M184" s="5362"/>
      <c r="N184" s="5393"/>
      <c r="O184" s="5343"/>
      <c r="P184" s="255"/>
      <c r="Q184" s="256"/>
      <c r="R184" s="256" t="s">
        <v>312</v>
      </c>
      <c r="S184" s="1764"/>
      <c r="T184" s="1764"/>
      <c r="U184" s="1764"/>
      <c r="V184" s="1764"/>
      <c r="W184" s="1354"/>
      <c r="Y184" s="1180"/>
      <c r="Z184" s="1180"/>
      <c r="AA184" s="1180"/>
      <c r="AB184" s="1180"/>
      <c r="AC184" s="1180"/>
      <c r="AD184" s="1180"/>
      <c r="AE184" s="1180"/>
      <c r="AF184" s="1180"/>
      <c r="AG184" s="1180"/>
      <c r="AH184" s="1180"/>
      <c r="AI184" s="1180"/>
      <c r="AJ184" s="1180"/>
      <c r="AK184" s="1180"/>
    </row>
    <row r="185" spans="1:43" s="4284" customFormat="1" ht="17.25" customHeight="1">
      <c r="A185" s="1758"/>
      <c r="C185" s="1763"/>
      <c r="D185" s="1748"/>
      <c r="E185" s="1765"/>
      <c r="F185" s="1704"/>
      <c r="G185" s="1766"/>
      <c r="H185" s="5362"/>
      <c r="I185" s="5362"/>
      <c r="J185" s="5398"/>
      <c r="K185" s="5343"/>
      <c r="L185" s="255"/>
      <c r="M185" s="256"/>
      <c r="N185" s="256" t="s">
        <v>360</v>
      </c>
      <c r="O185" s="256"/>
      <c r="P185" s="256"/>
      <c r="Q185" s="256"/>
      <c r="R185" s="256"/>
      <c r="S185" s="1764"/>
      <c r="T185" s="1764"/>
      <c r="U185" s="1764"/>
      <c r="V185" s="1764"/>
      <c r="W185" s="257"/>
      <c r="Y185" s="1180"/>
      <c r="Z185" s="1180"/>
      <c r="AA185" s="1180"/>
      <c r="AB185" s="1180"/>
      <c r="AC185" s="1180"/>
      <c r="AD185" s="1180"/>
      <c r="AE185" s="1180"/>
      <c r="AF185" s="1180"/>
      <c r="AG185" s="1180"/>
      <c r="AH185" s="1180"/>
      <c r="AI185" s="1180"/>
      <c r="AJ185" s="1180"/>
      <c r="AK185" s="1180"/>
    </row>
    <row r="186" spans="1:43" ht="17.25" customHeight="1">
      <c r="A186" s="1768"/>
    </row>
    <row r="187" spans="1:43" s="4284" customFormat="1" ht="17.25" customHeight="1">
      <c r="A187" s="1758"/>
      <c r="C187" s="1760"/>
      <c r="D187" s="1748"/>
      <c r="E187" s="1765"/>
      <c r="F187" s="1704"/>
      <c r="G187" s="1766"/>
      <c r="H187" s="1748"/>
      <c r="I187" s="1748"/>
      <c r="J187" s="1769"/>
      <c r="K187" s="1766"/>
      <c r="L187" s="5339"/>
      <c r="M187" s="5339" t="s">
        <v>136</v>
      </c>
      <c r="N187" s="5391" t="str">
        <f>IF(Z187="","",INDEX(TERRITORY_MR_LIST,MATCH(Z187,TERRITORY_LIST_ID,0)))</f>
        <v/>
      </c>
      <c r="O187" s="5399" t="s">
        <v>66</v>
      </c>
      <c r="P187" s="5339"/>
      <c r="Q187" s="5339" t="s">
        <v>136</v>
      </c>
      <c r="R187" s="5401" t="s">
        <v>28</v>
      </c>
      <c r="S187" s="5394" t="s">
        <v>19</v>
      </c>
      <c r="T187" s="1722"/>
      <c r="U187" s="1722" t="s">
        <v>136</v>
      </c>
      <c r="V187" s="1355"/>
      <c r="W187" s="5396"/>
      <c r="Y187" s="1188"/>
      <c r="Z187" s="1188"/>
      <c r="AA187" s="1188"/>
      <c r="AB187" s="1188"/>
      <c r="AC187" s="1188"/>
      <c r="AD187" s="1188"/>
      <c r="AE187" s="1188"/>
      <c r="AF187" s="1188"/>
      <c r="AG187" s="1188"/>
      <c r="AH187" s="1188"/>
      <c r="AI187" s="1188"/>
      <c r="AJ187" s="1188"/>
      <c r="AK187" s="1188"/>
      <c r="AL187" s="1762"/>
      <c r="AM187" s="1762"/>
      <c r="AN187" s="1188"/>
      <c r="AO187" s="1188"/>
      <c r="AP187" s="1188"/>
      <c r="AQ187" s="1188"/>
    </row>
    <row r="188" spans="1:43" s="4284" customFormat="1" ht="17.25" customHeight="1">
      <c r="A188" s="1758"/>
      <c r="C188" s="1763"/>
      <c r="D188" s="1748"/>
      <c r="E188" s="1765"/>
      <c r="F188" s="1704"/>
      <c r="G188" s="1766"/>
      <c r="H188" s="1748"/>
      <c r="I188" s="1748"/>
      <c r="J188" s="1769"/>
      <c r="K188" s="1766"/>
      <c r="L188" s="5339"/>
      <c r="M188" s="5339"/>
      <c r="N188" s="5391"/>
      <c r="O188" s="5400"/>
      <c r="P188" s="5339"/>
      <c r="Q188" s="5339"/>
      <c r="R188" s="5401"/>
      <c r="S188" s="5394"/>
      <c r="T188" s="1356"/>
      <c r="U188" s="1357"/>
      <c r="V188" s="1357"/>
      <c r="W188" s="5396"/>
      <c r="Y188" s="1180"/>
      <c r="Z188" s="1180"/>
      <c r="AA188" s="1180"/>
      <c r="AB188" s="1180"/>
      <c r="AC188" s="1180"/>
      <c r="AD188" s="1180"/>
      <c r="AE188" s="1180"/>
      <c r="AF188" s="1180"/>
      <c r="AG188" s="1180"/>
      <c r="AH188" s="1180"/>
      <c r="AI188" s="1180"/>
      <c r="AJ188" s="1180"/>
      <c r="AK188" s="1180"/>
    </row>
    <row r="189" spans="1:43" s="4284" customFormat="1" ht="17.25" customHeight="1">
      <c r="A189" s="1758"/>
      <c r="C189" s="1763"/>
      <c r="D189" s="1748"/>
      <c r="E189" s="1765"/>
      <c r="F189" s="1704"/>
      <c r="G189" s="1766"/>
      <c r="H189" s="1748"/>
      <c r="I189" s="1748"/>
      <c r="J189" s="1769"/>
      <c r="K189" s="1766"/>
      <c r="L189" s="5362"/>
      <c r="M189" s="5362"/>
      <c r="N189" s="5393"/>
      <c r="O189" s="5343"/>
      <c r="P189" s="255"/>
      <c r="Q189" s="256"/>
      <c r="R189" s="256" t="s">
        <v>312</v>
      </c>
      <c r="S189" s="1764"/>
      <c r="T189" s="1764"/>
      <c r="U189" s="1764"/>
      <c r="V189" s="1764"/>
      <c r="W189" s="1354"/>
      <c r="Y189" s="1180"/>
      <c r="Z189" s="1180"/>
      <c r="AA189" s="1180"/>
      <c r="AB189" s="1180"/>
      <c r="AC189" s="1180"/>
      <c r="AD189" s="1180"/>
      <c r="AE189" s="1180"/>
      <c r="AF189" s="1180"/>
      <c r="AG189" s="1180"/>
      <c r="AH189" s="1180"/>
      <c r="AI189" s="1180"/>
      <c r="AJ189" s="1180"/>
      <c r="AK189" s="1180"/>
    </row>
    <row r="190" spans="1:43" ht="17.25" customHeight="1">
      <c r="A190" s="1768"/>
    </row>
    <row r="191" spans="1:43" s="4284" customFormat="1" ht="17.25" customHeight="1">
      <c r="A191" s="1758"/>
      <c r="C191" s="1760"/>
      <c r="D191" s="1748"/>
      <c r="E191" s="1765"/>
      <c r="F191" s="1704"/>
      <c r="G191" s="1766"/>
      <c r="H191" s="1748"/>
      <c r="I191" s="1748"/>
      <c r="J191" s="1769"/>
      <c r="K191" s="1766"/>
      <c r="L191" s="1748"/>
      <c r="M191" s="1748"/>
      <c r="N191" s="1963"/>
      <c r="O191" s="1707"/>
      <c r="P191" s="5339"/>
      <c r="Q191" s="5339" t="s">
        <v>136</v>
      </c>
      <c r="R191" s="5401" t="s">
        <v>28</v>
      </c>
      <c r="S191" s="5394" t="s">
        <v>19</v>
      </c>
      <c r="T191" s="1722"/>
      <c r="U191" s="1722" t="s">
        <v>136</v>
      </c>
      <c r="V191" s="1355"/>
      <c r="W191" s="5396"/>
      <c r="Y191" s="1188"/>
      <c r="Z191" s="1188"/>
      <c r="AA191" s="1188"/>
      <c r="AB191" s="1188"/>
      <c r="AC191" s="1188"/>
      <c r="AD191" s="1188"/>
      <c r="AE191" s="1188"/>
      <c r="AF191" s="1188"/>
      <c r="AG191" s="1188"/>
      <c r="AH191" s="1188"/>
      <c r="AI191" s="1188"/>
      <c r="AJ191" s="1188"/>
      <c r="AK191" s="1188"/>
      <c r="AL191" s="1762"/>
      <c r="AM191" s="1762"/>
      <c r="AN191" s="1188"/>
      <c r="AO191" s="1188"/>
      <c r="AP191" s="1188"/>
      <c r="AQ191" s="1188"/>
    </row>
    <row r="192" spans="1:43" s="4284" customFormat="1" ht="17.25" customHeight="1">
      <c r="A192" s="1758"/>
      <c r="C192" s="1763"/>
      <c r="D192" s="1748"/>
      <c r="E192" s="1765"/>
      <c r="F192" s="1704"/>
      <c r="G192" s="1766"/>
      <c r="H192" s="1748"/>
      <c r="I192" s="1748"/>
      <c r="J192" s="1769"/>
      <c r="K192" s="1766"/>
      <c r="L192" s="1748"/>
      <c r="M192" s="1748"/>
      <c r="N192" s="1963"/>
      <c r="O192" s="1707"/>
      <c r="P192" s="5339"/>
      <c r="Q192" s="5339"/>
      <c r="R192" s="5401"/>
      <c r="S192" s="5394"/>
      <c r="T192" s="1356"/>
      <c r="U192" s="1357"/>
      <c r="V192" s="1357"/>
      <c r="W192" s="5396"/>
      <c r="Y192" s="1180"/>
      <c r="Z192" s="1180"/>
      <c r="AA192" s="1180"/>
      <c r="AB192" s="1180"/>
      <c r="AC192" s="1180"/>
      <c r="AD192" s="1180"/>
      <c r="AE192" s="1180"/>
      <c r="AF192" s="1180"/>
      <c r="AG192" s="1180"/>
      <c r="AH192" s="1180"/>
      <c r="AI192" s="1180"/>
      <c r="AJ192" s="1180"/>
      <c r="AK192" s="1180"/>
    </row>
    <row r="193" spans="1:63" ht="17.25" customHeight="1">
      <c r="A193" s="1768"/>
    </row>
    <row r="194" spans="1:63" ht="16.5" customHeight="1">
      <c r="A194" s="1758"/>
      <c r="B194" s="1759"/>
      <c r="C194" s="1763"/>
      <c r="D194" s="5395"/>
      <c r="E194" s="5413"/>
      <c r="F194" s="5413"/>
      <c r="G194" s="5328"/>
      <c r="H194" s="5352"/>
      <c r="I194" s="5354"/>
      <c r="J194" s="5356"/>
      <c r="K194" s="5348"/>
      <c r="L194" s="5348"/>
      <c r="M194" s="5348"/>
      <c r="N194" s="5359"/>
      <c r="O194" s="5348"/>
      <c r="P194" s="5348"/>
      <c r="Q194" s="5348"/>
      <c r="R194" s="5346"/>
      <c r="S194" s="5348"/>
      <c r="T194" s="1703"/>
      <c r="U194" s="1703"/>
      <c r="V194" s="1770"/>
      <c r="W194" s="1217"/>
    </row>
    <row r="195" spans="1:63" ht="16.5" customHeight="1">
      <c r="A195" s="1758"/>
      <c r="B195" s="1759"/>
      <c r="C195" s="1763"/>
      <c r="D195" s="5395"/>
      <c r="E195" s="5413"/>
      <c r="F195" s="5413"/>
      <c r="G195" s="5328"/>
      <c r="H195" s="5353"/>
      <c r="I195" s="5355"/>
      <c r="J195" s="5357"/>
      <c r="K195" s="5349"/>
      <c r="L195" s="5349"/>
      <c r="M195" s="5349"/>
      <c r="N195" s="5360"/>
      <c r="O195" s="5349"/>
      <c r="P195" s="5349"/>
      <c r="Q195" s="5349"/>
      <c r="R195" s="5347"/>
      <c r="S195" s="5349"/>
      <c r="T195" s="1218"/>
      <c r="U195" s="1218"/>
      <c r="V195" s="1218"/>
      <c r="W195" s="1219"/>
    </row>
    <row r="196" spans="1:63" ht="17.25" customHeight="1">
      <c r="A196" s="1758"/>
      <c r="B196" s="1759"/>
      <c r="C196" s="1763"/>
      <c r="D196" s="5395"/>
      <c r="E196" s="5413"/>
      <c r="F196" s="5413"/>
      <c r="G196" s="5328"/>
      <c r="H196" s="5353"/>
      <c r="I196" s="5355"/>
      <c r="J196" s="5358"/>
      <c r="K196" s="5349"/>
      <c r="L196" s="5349"/>
      <c r="M196" s="5349"/>
      <c r="N196" s="5347"/>
      <c r="O196" s="5349"/>
      <c r="P196" s="1706"/>
      <c r="Q196" s="1218"/>
      <c r="R196" s="1218"/>
      <c r="S196" s="1771"/>
      <c r="T196" s="1771"/>
      <c r="U196" s="1771"/>
      <c r="V196" s="1771"/>
      <c r="W196" s="1219"/>
    </row>
    <row r="197" spans="1:63" ht="17.25" customHeight="1">
      <c r="A197" s="1758"/>
      <c r="B197" s="1759"/>
      <c r="C197" s="1763"/>
      <c r="D197" s="5395"/>
      <c r="E197" s="5413"/>
      <c r="F197" s="5413"/>
      <c r="G197" s="5328"/>
      <c r="H197" s="5353"/>
      <c r="I197" s="5355"/>
      <c r="J197" s="5358"/>
      <c r="K197" s="5349"/>
      <c r="L197" s="1218"/>
      <c r="M197" s="1218"/>
      <c r="N197" s="1218"/>
      <c r="O197" s="1218"/>
      <c r="P197" s="1218"/>
      <c r="Q197" s="1218"/>
      <c r="R197" s="1218"/>
      <c r="S197" s="1771"/>
      <c r="T197" s="1771"/>
      <c r="U197" s="1771"/>
      <c r="V197" s="1771"/>
      <c r="W197" s="1219"/>
    </row>
    <row r="198" spans="1:63" ht="17.25" customHeight="1">
      <c r="A198" s="1758"/>
      <c r="B198" s="1759"/>
      <c r="C198" s="1763"/>
      <c r="D198" s="5395"/>
      <c r="E198" s="5413"/>
      <c r="F198" s="5413"/>
      <c r="G198" s="5328"/>
      <c r="H198" s="1220"/>
      <c r="I198" s="1221"/>
      <c r="J198" s="1221"/>
      <c r="K198" s="1221"/>
      <c r="L198" s="1221"/>
      <c r="M198" s="1221"/>
      <c r="N198" s="1221"/>
      <c r="O198" s="1221"/>
      <c r="P198" s="1221"/>
      <c r="Q198" s="1221"/>
      <c r="R198" s="1221"/>
      <c r="S198" s="1772"/>
      <c r="T198" s="1772"/>
      <c r="U198" s="1772"/>
      <c r="V198" s="1772"/>
      <c r="W198" s="1223"/>
    </row>
    <row r="200" spans="1:63" s="5280" customFormat="1" ht="17.25" customHeight="1">
      <c r="A200" s="1735" t="s">
        <v>2037</v>
      </c>
    </row>
    <row r="201" spans="1:63" ht="17.25" customHeight="1">
      <c r="G201" s="1757"/>
      <c r="H201" s="1757"/>
      <c r="I201" s="1757"/>
      <c r="M201" s="1753"/>
    </row>
    <row r="202" spans="1:63" s="4278" customFormat="1" ht="15" customHeight="1">
      <c r="D202" s="5719"/>
      <c r="E202" s="5408"/>
      <c r="F202" s="5408"/>
      <c r="G202" s="5399"/>
      <c r="H202" s="1485"/>
      <c r="I202" s="5720">
        <v>1</v>
      </c>
      <c r="J202" s="5396"/>
      <c r="K202" s="1500"/>
      <c r="L202" s="5399" t="s">
        <v>66</v>
      </c>
      <c r="M202" s="5399" t="s">
        <v>66</v>
      </c>
      <c r="N202" s="1485"/>
      <c r="O202" s="5339" t="s">
        <v>136</v>
      </c>
      <c r="P202" s="5726"/>
      <c r="Q202" s="1501"/>
      <c r="R202" s="5399" t="s">
        <v>66</v>
      </c>
      <c r="S202" s="5399" t="s">
        <v>66</v>
      </c>
      <c r="T202" s="1773"/>
      <c r="U202" s="5339" t="s">
        <v>136</v>
      </c>
      <c r="V202" s="5716" t="str">
        <f>IF(AK202="","",INDEX(TERRITORY_MR_LIST,MATCH(AK202,TERRITORY_LIST_ID,0)))</f>
        <v/>
      </c>
      <c r="W202" s="1502"/>
      <c r="X202" s="5399" t="s">
        <v>66</v>
      </c>
      <c r="Y202" s="5399" t="s">
        <v>19</v>
      </c>
      <c r="Z202" s="1485"/>
      <c r="AA202" s="5339" t="s">
        <v>136</v>
      </c>
      <c r="AB202" s="5718"/>
      <c r="AC202" s="1503"/>
      <c r="AD202" s="5399" t="s">
        <v>66</v>
      </c>
      <c r="AE202" s="5399" t="s">
        <v>19</v>
      </c>
      <c r="AF202" s="1483"/>
      <c r="AG202" s="1731" t="s">
        <v>136</v>
      </c>
      <c r="AH202" s="1493"/>
      <c r="AI202" s="1721"/>
    </row>
    <row r="203" spans="1:63" s="4278" customFormat="1" ht="15" customHeight="1">
      <c r="D203" s="5719"/>
      <c r="E203" s="5408"/>
      <c r="F203" s="5408"/>
      <c r="G203" s="5400"/>
      <c r="H203" s="1485"/>
      <c r="I203" s="5720"/>
      <c r="J203" s="5396"/>
      <c r="K203" s="1484"/>
      <c r="L203" s="5400"/>
      <c r="M203" s="5400"/>
      <c r="N203" s="1485"/>
      <c r="O203" s="5339"/>
      <c r="P203" s="5726"/>
      <c r="Q203" s="1481"/>
      <c r="R203" s="5400"/>
      <c r="S203" s="5400"/>
      <c r="T203" s="1773"/>
      <c r="U203" s="5339"/>
      <c r="V203" s="5717"/>
      <c r="W203" s="1482"/>
      <c r="X203" s="5400"/>
      <c r="Y203" s="5400"/>
      <c r="Z203" s="1485"/>
      <c r="AA203" s="5339"/>
      <c r="AB203" s="5656"/>
      <c r="AC203" s="1486"/>
      <c r="AD203" s="5343"/>
      <c r="AE203" s="5343"/>
      <c r="AF203" s="1487"/>
      <c r="AG203" s="1488"/>
      <c r="AH203" s="5722" t="s">
        <v>2038</v>
      </c>
      <c r="AI203" s="5723"/>
    </row>
    <row r="204" spans="1:63" s="4278" customFormat="1" ht="15" customHeight="1">
      <c r="D204" s="5719"/>
      <c r="E204" s="5408"/>
      <c r="F204" s="5408"/>
      <c r="G204" s="5400"/>
      <c r="H204" s="1485"/>
      <c r="I204" s="5720"/>
      <c r="J204" s="5396"/>
      <c r="K204" s="1484"/>
      <c r="L204" s="5400"/>
      <c r="M204" s="5400"/>
      <c r="N204" s="1485"/>
      <c r="O204" s="5339"/>
      <c r="P204" s="5726"/>
      <c r="Q204" s="1481"/>
      <c r="R204" s="5400"/>
      <c r="S204" s="5400"/>
      <c r="T204" s="1773"/>
      <c r="U204" s="5339"/>
      <c r="V204" s="5717"/>
      <c r="W204" s="1482"/>
      <c r="X204" s="5400"/>
      <c r="Y204" s="5400"/>
      <c r="Z204" s="1524"/>
      <c r="AA204" s="1490"/>
      <c r="AB204" s="5724" t="s">
        <v>2039</v>
      </c>
      <c r="AC204" s="5724"/>
      <c r="AD204" s="5724"/>
      <c r="AE204" s="5724"/>
      <c r="AF204" s="5724"/>
      <c r="AG204" s="5724"/>
      <c r="AH204" s="5724"/>
      <c r="AI204" s="5725"/>
    </row>
    <row r="205" spans="1:63" s="4278" customFormat="1" ht="15" customHeight="1">
      <c r="D205" s="5719"/>
      <c r="E205" s="5408"/>
      <c r="F205" s="5408"/>
      <c r="G205" s="5400"/>
      <c r="H205" s="1485"/>
      <c r="I205" s="5720"/>
      <c r="J205" s="5396"/>
      <c r="K205" s="1484"/>
      <c r="L205" s="5400"/>
      <c r="M205" s="5400"/>
      <c r="N205" s="1485"/>
      <c r="O205" s="5339"/>
      <c r="P205" s="5727"/>
      <c r="Q205" s="1481"/>
      <c r="R205" s="5400"/>
      <c r="S205" s="5400"/>
      <c r="T205" s="1774"/>
      <c r="U205" s="1525"/>
      <c r="V205" s="5722" t="s">
        <v>139</v>
      </c>
      <c r="W205" s="5722"/>
      <c r="X205" s="5722"/>
      <c r="Y205" s="5722"/>
      <c r="Z205" s="5722"/>
      <c r="AA205" s="5722"/>
      <c r="AB205" s="5722"/>
      <c r="AC205" s="5722"/>
      <c r="AD205" s="5722"/>
      <c r="AE205" s="5722"/>
      <c r="AF205" s="5722"/>
      <c r="AG205" s="5722"/>
      <c r="AH205" s="5722"/>
      <c r="AI205" s="5723"/>
    </row>
    <row r="206" spans="1:63" s="4278" customFormat="1" ht="11.25" customHeight="1">
      <c r="D206" s="5719"/>
      <c r="E206" s="5408"/>
      <c r="F206" s="5408"/>
      <c r="G206" s="5400"/>
      <c r="H206" s="1489"/>
      <c r="I206" s="5720"/>
      <c r="J206" s="5721"/>
      <c r="K206" s="1484"/>
      <c r="L206" s="5400"/>
      <c r="M206" s="5400"/>
      <c r="N206" s="1489"/>
      <c r="O206" s="1490"/>
      <c r="P206" s="5722" t="s">
        <v>2040</v>
      </c>
      <c r="Q206" s="5722"/>
      <c r="R206" s="5722"/>
      <c r="S206" s="5722"/>
      <c r="T206" s="5722"/>
      <c r="U206" s="5722"/>
      <c r="V206" s="5722"/>
      <c r="W206" s="5722"/>
      <c r="X206" s="5722"/>
      <c r="Y206" s="5722"/>
      <c r="Z206" s="5722"/>
      <c r="AA206" s="5722"/>
      <c r="AB206" s="5722"/>
      <c r="AC206" s="5722"/>
      <c r="AD206" s="5722"/>
      <c r="AE206" s="5722"/>
      <c r="AF206" s="5722"/>
      <c r="AG206" s="5722"/>
      <c r="AH206" s="5722"/>
      <c r="AI206" s="5723"/>
    </row>
    <row r="207" spans="1:63" s="4290" customFormat="1" ht="11.25" customHeight="1">
      <c r="D207" s="5719"/>
      <c r="E207" s="5408"/>
      <c r="F207" s="5408"/>
      <c r="G207" s="5343"/>
      <c r="H207" s="1491"/>
      <c r="I207" s="1492"/>
      <c r="J207" s="5722" t="s">
        <v>361</v>
      </c>
      <c r="K207" s="5722"/>
      <c r="L207" s="5722"/>
      <c r="M207" s="5722"/>
      <c r="N207" s="5722"/>
      <c r="O207" s="5722"/>
      <c r="P207" s="5722"/>
      <c r="Q207" s="5722"/>
      <c r="R207" s="5722"/>
      <c r="S207" s="5722"/>
      <c r="T207" s="5722"/>
      <c r="U207" s="5722"/>
      <c r="V207" s="5722"/>
      <c r="W207" s="5722"/>
      <c r="X207" s="5722"/>
      <c r="Y207" s="5722"/>
      <c r="Z207" s="5722"/>
      <c r="AA207" s="5722"/>
      <c r="AB207" s="5722"/>
      <c r="AC207" s="5722"/>
      <c r="AD207" s="5722"/>
      <c r="AE207" s="5722"/>
      <c r="AF207" s="5722"/>
      <c r="AG207" s="5722"/>
      <c r="AH207" s="5722"/>
      <c r="AI207" s="5723"/>
      <c r="BK207" s="1495"/>
    </row>
    <row r="208" spans="1:63" ht="17.25" customHeight="1">
      <c r="G208" s="1757"/>
      <c r="I208" s="1757"/>
      <c r="J208" s="1757"/>
      <c r="N208" s="1753"/>
    </row>
    <row r="209" spans="1:63" s="4278" customFormat="1" ht="15" customHeight="1">
      <c r="D209" s="5719"/>
      <c r="E209" s="5408"/>
      <c r="F209" s="5408"/>
      <c r="G209" s="5413"/>
      <c r="H209" s="1520"/>
      <c r="I209" s="5416"/>
      <c r="J209" s="5356"/>
      <c r="K209" s="1705"/>
      <c r="L209" s="5348"/>
      <c r="M209" s="5348"/>
      <c r="N209" s="1505"/>
      <c r="O209" s="5348"/>
      <c r="P209" s="5356"/>
      <c r="Q209" s="1709"/>
      <c r="R209" s="5348"/>
      <c r="S209" s="5348"/>
      <c r="T209" s="1775"/>
      <c r="U209" s="5348"/>
      <c r="V209" s="5356"/>
      <c r="W209" s="1508"/>
      <c r="X209" s="5348"/>
      <c r="Y209" s="5348"/>
      <c r="Z209" s="1505"/>
      <c r="AA209" s="5348"/>
      <c r="AB209" s="5356"/>
      <c r="AC209" s="1509"/>
      <c r="AD209" s="5348"/>
      <c r="AE209" s="5348"/>
      <c r="AF209" s="1703"/>
      <c r="AG209" s="1703"/>
      <c r="AH209" s="1510"/>
      <c r="AI209" s="1217"/>
    </row>
    <row r="210" spans="1:63" s="4278" customFormat="1" ht="15" customHeight="1">
      <c r="D210" s="5719"/>
      <c r="E210" s="5408"/>
      <c r="F210" s="5408"/>
      <c r="G210" s="5413"/>
      <c r="H210" s="1521"/>
      <c r="I210" s="5417"/>
      <c r="J210" s="5357"/>
      <c r="K210" s="1531"/>
      <c r="L210" s="5349"/>
      <c r="M210" s="5349"/>
      <c r="N210" s="1511"/>
      <c r="O210" s="5349"/>
      <c r="P210" s="5357"/>
      <c r="Q210" s="1710"/>
      <c r="R210" s="5349"/>
      <c r="S210" s="5349"/>
      <c r="T210" s="1776"/>
      <c r="U210" s="5349"/>
      <c r="V210" s="5357"/>
      <c r="W210" s="1514"/>
      <c r="X210" s="5349"/>
      <c r="Y210" s="5349"/>
      <c r="Z210" s="1511"/>
      <c r="AA210" s="5349"/>
      <c r="AB210" s="5357"/>
      <c r="AC210" s="1515"/>
      <c r="AD210" s="5349"/>
      <c r="AE210" s="5349"/>
      <c r="AF210" s="1708"/>
      <c r="AG210" s="1708"/>
      <c r="AH210" s="5420"/>
      <c r="AI210" s="5421"/>
    </row>
    <row r="211" spans="1:63" s="4278" customFormat="1" ht="15" customHeight="1">
      <c r="D211" s="5719"/>
      <c r="E211" s="5408"/>
      <c r="F211" s="5408"/>
      <c r="G211" s="5413"/>
      <c r="H211" s="1521"/>
      <c r="I211" s="5417"/>
      <c r="J211" s="5357"/>
      <c r="K211" s="1531"/>
      <c r="L211" s="5349"/>
      <c r="M211" s="5349"/>
      <c r="N211" s="1511"/>
      <c r="O211" s="5349"/>
      <c r="P211" s="5357"/>
      <c r="Q211" s="1710"/>
      <c r="R211" s="5349"/>
      <c r="S211" s="5349"/>
      <c r="T211" s="1776"/>
      <c r="U211" s="5349"/>
      <c r="V211" s="5357"/>
      <c r="W211" s="1514"/>
      <c r="X211" s="5349"/>
      <c r="Y211" s="5349"/>
      <c r="Z211" s="1706"/>
      <c r="AA211" s="1708"/>
      <c r="AB211" s="5420"/>
      <c r="AC211" s="5420"/>
      <c r="AD211" s="5420"/>
      <c r="AE211" s="5420"/>
      <c r="AF211" s="5420"/>
      <c r="AG211" s="5420"/>
      <c r="AH211" s="5420"/>
      <c r="AI211" s="5421"/>
    </row>
    <row r="212" spans="1:63" s="4278" customFormat="1" ht="15" customHeight="1">
      <c r="D212" s="5719"/>
      <c r="E212" s="5408"/>
      <c r="F212" s="5408"/>
      <c r="G212" s="5413"/>
      <c r="H212" s="1521"/>
      <c r="I212" s="5417"/>
      <c r="J212" s="5357"/>
      <c r="K212" s="1531"/>
      <c r="L212" s="5349"/>
      <c r="M212" s="5349"/>
      <c r="N212" s="1511"/>
      <c r="O212" s="5349"/>
      <c r="P212" s="5357"/>
      <c r="Q212" s="1710"/>
      <c r="R212" s="5349"/>
      <c r="S212" s="5349"/>
      <c r="T212" s="1777"/>
      <c r="U212" s="1518"/>
      <c r="V212" s="5420"/>
      <c r="W212" s="5420"/>
      <c r="X212" s="5420"/>
      <c r="Y212" s="5420"/>
      <c r="Z212" s="5420"/>
      <c r="AA212" s="5420"/>
      <c r="AB212" s="5420"/>
      <c r="AC212" s="5420"/>
      <c r="AD212" s="5420"/>
      <c r="AE212" s="5420"/>
      <c r="AF212" s="5420"/>
      <c r="AG212" s="5420"/>
      <c r="AH212" s="5420"/>
      <c r="AI212" s="5421"/>
    </row>
    <row r="213" spans="1:63" s="4278" customFormat="1" ht="11.25" customHeight="1">
      <c r="D213" s="5719"/>
      <c r="E213" s="5408"/>
      <c r="F213" s="5408"/>
      <c r="G213" s="5413"/>
      <c r="H213" s="1522"/>
      <c r="I213" s="5417"/>
      <c r="J213" s="5357"/>
      <c r="K213" s="1531"/>
      <c r="L213" s="5349"/>
      <c r="M213" s="5349"/>
      <c r="N213" s="1708"/>
      <c r="O213" s="1708"/>
      <c r="P213" s="5420"/>
      <c r="Q213" s="5420"/>
      <c r="R213" s="5420"/>
      <c r="S213" s="5420"/>
      <c r="T213" s="5420"/>
      <c r="U213" s="5420"/>
      <c r="V213" s="5420"/>
      <c r="W213" s="5420"/>
      <c r="X213" s="5420"/>
      <c r="Y213" s="5420"/>
      <c r="Z213" s="5420"/>
      <c r="AA213" s="5420"/>
      <c r="AB213" s="5420"/>
      <c r="AC213" s="5420"/>
      <c r="AD213" s="5420"/>
      <c r="AE213" s="5420"/>
      <c r="AF213" s="5420"/>
      <c r="AG213" s="5420"/>
      <c r="AH213" s="5420"/>
      <c r="AI213" s="5421"/>
    </row>
    <row r="214" spans="1:63" s="4290" customFormat="1" ht="11.25" customHeight="1">
      <c r="D214" s="5719"/>
      <c r="E214" s="5408"/>
      <c r="F214" s="5408"/>
      <c r="G214" s="5422"/>
      <c r="H214" s="1519"/>
      <c r="I214" s="1523"/>
      <c r="J214" s="5418"/>
      <c r="K214" s="5418"/>
      <c r="L214" s="5418"/>
      <c r="M214" s="5418"/>
      <c r="N214" s="5418"/>
      <c r="O214" s="5418"/>
      <c r="P214" s="5418"/>
      <c r="Q214" s="5418"/>
      <c r="R214" s="5418"/>
      <c r="S214" s="5418"/>
      <c r="T214" s="5418"/>
      <c r="U214" s="5418"/>
      <c r="V214" s="5418"/>
      <c r="W214" s="5418"/>
      <c r="X214" s="5418"/>
      <c r="Y214" s="5418"/>
      <c r="Z214" s="5418"/>
      <c r="AA214" s="5418"/>
      <c r="AB214" s="5418"/>
      <c r="AC214" s="5418"/>
      <c r="AD214" s="5418"/>
      <c r="AE214" s="5418"/>
      <c r="AF214" s="5418"/>
      <c r="AG214" s="5418"/>
      <c r="AH214" s="5418"/>
      <c r="AI214" s="5419"/>
      <c r="BK214" s="1495"/>
    </row>
    <row r="215" spans="1:63" ht="17.25" customHeight="1">
      <c r="A215" s="1768"/>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5281"/>
    <col min="2" max="2" width="43.140625" style="5281" hidden="1"/>
    <col min="3" max="3" width="43.140625" style="5281"/>
    <col min="4" max="5" width="36.42578125" style="5281" customWidth="1"/>
    <col min="6" max="8" width="36.42578125" style="5282" customWidth="1"/>
  </cols>
  <sheetData>
    <row r="1" spans="1:8" ht="9" customHeight="1">
      <c r="A1" s="775" t="s">
        <v>2041</v>
      </c>
      <c r="B1" s="775"/>
      <c r="C1" s="908" t="s">
        <v>2042</v>
      </c>
      <c r="D1" s="907" t="s">
        <v>899</v>
      </c>
      <c r="E1" s="907" t="s">
        <v>945</v>
      </c>
      <c r="F1" s="907" t="s">
        <v>998</v>
      </c>
      <c r="G1" s="907" t="s">
        <v>985</v>
      </c>
      <c r="H1" s="907" t="s">
        <v>1716</v>
      </c>
    </row>
    <row r="2" spans="1:8" ht="9" customHeight="1">
      <c r="A2" s="909" t="s">
        <v>2043</v>
      </c>
      <c r="B2" s="909"/>
      <c r="C2" s="910" t="str">
        <f>INDEX(TEMPLATE_NUMBER_FORM_LIST,MATCH(TEMPLATE_SPHERE,TEMPLATE_SPHERE_LIST,0))</f>
        <v>10</v>
      </c>
      <c r="D2" s="909" t="s">
        <v>110</v>
      </c>
      <c r="E2" s="909" t="s">
        <v>180</v>
      </c>
      <c r="F2" s="911" t="s">
        <v>180</v>
      </c>
      <c r="G2" s="909" t="s">
        <v>180</v>
      </c>
      <c r="H2" s="912"/>
    </row>
    <row r="3" spans="1:8" ht="63" customHeight="1">
      <c r="A3" s="775"/>
      <c r="B3" s="775" t="s">
        <v>136</v>
      </c>
      <c r="C3" s="910"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0" t="s">
        <v>2044</v>
      </c>
      <c r="E3" s="91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1"/>
      <c r="G3" s="912"/>
      <c r="H3" s="775"/>
    </row>
    <row r="4" spans="1:8" ht="243" customHeight="1">
      <c r="A4" s="775" t="s">
        <v>2045</v>
      </c>
      <c r="B4" s="775" t="s">
        <v>103</v>
      </c>
      <c r="C4" s="910" t="str">
        <f>IF(TEMPLATE_SPHERE="HEAT",D4,IF(TEMPLATE_SPHERE="TKO",H4,E4))</f>
        <v>Форма 1. Информация об организации, осуществляющей водоотведение (общая информация)</v>
      </c>
      <c r="D4" s="909" t="s">
        <v>2046</v>
      </c>
      <c r="E4" s="91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09"/>
      <c r="G4" s="909"/>
      <c r="H4" s="775" t="s">
        <v>2047</v>
      </c>
    </row>
    <row r="5" spans="1:8" ht="117" customHeight="1">
      <c r="A5" s="775" t="s">
        <v>2048</v>
      </c>
      <c r="B5" s="775" t="s">
        <v>90</v>
      </c>
      <c r="C5" s="910"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5" t="s">
        <v>2049</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2"/>
      <c r="G5" s="912"/>
      <c r="H5" s="775" t="s">
        <v>2050</v>
      </c>
    </row>
    <row r="6" spans="1:8" ht="90" customHeight="1">
      <c r="A6" s="775" t="s">
        <v>2051</v>
      </c>
      <c r="B6" s="775" t="s">
        <v>91</v>
      </c>
      <c r="C6" s="910"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5"/>
      <c r="G6" s="775"/>
      <c r="H6" s="912"/>
    </row>
    <row r="7" spans="1:8" ht="45" customHeight="1">
      <c r="A7" s="775" t="s">
        <v>2052</v>
      </c>
      <c r="B7" s="775" t="s">
        <v>116</v>
      </c>
      <c r="C7" s="910"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5" t="s">
        <v>2053</v>
      </c>
      <c r="E7" s="775" t="s">
        <v>2054</v>
      </c>
      <c r="F7" s="912"/>
      <c r="G7" s="912"/>
      <c r="H7" s="912"/>
    </row>
    <row r="8" spans="1:8" ht="108" customHeight="1">
      <c r="A8" s="775" t="s">
        <v>2055</v>
      </c>
      <c r="B8" s="775" t="s">
        <v>92</v>
      </c>
      <c r="C8" s="910"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5" t="s">
        <v>1255</v>
      </c>
      <c r="E8" s="775" t="s">
        <v>2056</v>
      </c>
      <c r="F8" s="912"/>
      <c r="G8" s="912"/>
      <c r="H8" s="912"/>
    </row>
    <row r="9" spans="1:8" ht="99" customHeight="1">
      <c r="A9" s="775" t="s">
        <v>2057</v>
      </c>
      <c r="B9" s="775"/>
      <c r="C9" s="775" t="s">
        <v>2058</v>
      </c>
      <c r="D9" s="775"/>
      <c r="E9" s="775"/>
      <c r="F9" s="912"/>
      <c r="G9" s="912"/>
      <c r="H9" s="912"/>
    </row>
    <row r="10" spans="1:8" ht="126" customHeight="1">
      <c r="A10" s="775" t="s">
        <v>2059</v>
      </c>
      <c r="B10" s="775"/>
      <c r="C10" s="775" t="s">
        <v>2060</v>
      </c>
      <c r="D10" s="775"/>
      <c r="E10" s="775"/>
      <c r="F10" s="912"/>
      <c r="G10" s="912"/>
      <c r="H10" s="912"/>
    </row>
    <row r="11" spans="1:8" ht="108" customHeight="1">
      <c r="A11" s="775" t="s">
        <v>2061</v>
      </c>
      <c r="B11" s="775"/>
      <c r="C11" s="775" t="s">
        <v>2062</v>
      </c>
      <c r="D11" s="775"/>
      <c r="E11" s="775"/>
      <c r="F11" s="912"/>
      <c r="G11" s="912"/>
      <c r="H11" s="912"/>
    </row>
    <row r="12" spans="1:8" ht="54" customHeight="1">
      <c r="A12" s="775" t="s">
        <v>2063</v>
      </c>
      <c r="B12" s="775"/>
      <c r="C12" s="775" t="s">
        <v>2064</v>
      </c>
      <c r="D12" s="775"/>
      <c r="E12" s="775"/>
      <c r="F12" s="912"/>
      <c r="G12" s="912"/>
      <c r="H12" s="912"/>
    </row>
    <row r="13" spans="1:8" ht="45" customHeight="1">
      <c r="A13" s="775" t="s">
        <v>2065</v>
      </c>
      <c r="B13" s="775"/>
      <c r="C13" s="775" t="s">
        <v>2066</v>
      </c>
      <c r="D13" s="775"/>
      <c r="E13" s="775"/>
      <c r="F13" s="912"/>
      <c r="G13" s="912"/>
      <c r="H13" s="912"/>
    </row>
    <row r="14" spans="1:8" ht="117" customHeight="1">
      <c r="A14" s="775" t="s">
        <v>2067</v>
      </c>
      <c r="B14" s="775"/>
      <c r="C14" s="775" t="s">
        <v>2068</v>
      </c>
      <c r="D14" s="775"/>
      <c r="E14" s="775"/>
      <c r="F14" s="912"/>
      <c r="G14" s="912"/>
      <c r="H14" s="912"/>
    </row>
    <row r="15" spans="1:8" ht="117" customHeight="1">
      <c r="A15" s="775" t="s">
        <v>2069</v>
      </c>
      <c r="B15" s="775"/>
      <c r="C15" s="775" t="s">
        <v>2070</v>
      </c>
      <c r="D15" s="775"/>
      <c r="E15" s="775"/>
      <c r="F15" s="912"/>
      <c r="G15" s="912"/>
      <c r="H15" s="912"/>
    </row>
    <row r="16" spans="1:8" ht="63" customHeight="1">
      <c r="A16" s="775" t="s">
        <v>2071</v>
      </c>
      <c r="B16" s="775"/>
      <c r="C16" s="775" t="s">
        <v>2072</v>
      </c>
      <c r="D16" s="775"/>
      <c r="E16" s="775"/>
      <c r="F16" s="912"/>
      <c r="G16" s="912"/>
      <c r="H16" s="912"/>
    </row>
    <row r="17" spans="1:8" ht="54" customHeight="1">
      <c r="A17" s="775" t="s">
        <v>2073</v>
      </c>
      <c r="B17" s="775"/>
      <c r="C17" s="910" t="s">
        <v>2074</v>
      </c>
      <c r="D17" s="775"/>
      <c r="E17" s="775"/>
      <c r="F17" s="912"/>
      <c r="G17" s="912"/>
      <c r="H17" s="912"/>
    </row>
    <row r="18" spans="1:8" ht="27" customHeight="1">
      <c r="A18" s="775" t="s">
        <v>2075</v>
      </c>
      <c r="B18" s="775"/>
      <c r="C18" s="910" t="s">
        <v>2076</v>
      </c>
      <c r="D18" s="775"/>
      <c r="E18" s="775"/>
      <c r="F18" s="912"/>
      <c r="G18" s="912"/>
      <c r="H18" s="912"/>
    </row>
    <row r="19" spans="1:8" ht="54" customHeight="1">
      <c r="A19" s="775" t="s">
        <v>2077</v>
      </c>
      <c r="B19" s="775"/>
      <c r="C19" s="910" t="s">
        <v>2078</v>
      </c>
      <c r="D19" s="775"/>
      <c r="E19" s="775"/>
      <c r="F19" s="912"/>
      <c r="G19" s="912"/>
      <c r="H19" s="912"/>
    </row>
    <row r="20" spans="1:8" ht="36" customHeight="1">
      <c r="A20" s="775" t="s">
        <v>2079</v>
      </c>
      <c r="B20" s="775"/>
      <c r="C20" s="910" t="s">
        <v>2080</v>
      </c>
      <c r="D20" s="775"/>
      <c r="E20" s="775"/>
      <c r="F20" s="912"/>
      <c r="G20" s="912"/>
      <c r="H20" s="912"/>
    </row>
    <row r="21" spans="1:8" ht="36" customHeight="1">
      <c r="A21" s="775" t="s">
        <v>2081</v>
      </c>
      <c r="B21" s="775"/>
      <c r="C21" s="910" t="s">
        <v>2082</v>
      </c>
      <c r="D21" s="775"/>
      <c r="E21" s="775"/>
      <c r="F21" s="912"/>
      <c r="G21" s="912"/>
      <c r="H21" s="912"/>
    </row>
    <row r="22" spans="1:8" ht="27" customHeight="1">
      <c r="A22" s="775" t="s">
        <v>2083</v>
      </c>
      <c r="B22" s="775"/>
      <c r="C22" s="910" t="s">
        <v>2084</v>
      </c>
      <c r="D22" s="775"/>
      <c r="E22" s="775"/>
      <c r="F22" s="912"/>
      <c r="G22" s="912"/>
      <c r="H22" s="912"/>
    </row>
    <row r="23" spans="1:8" ht="36" customHeight="1">
      <c r="A23" s="775" t="s">
        <v>2085</v>
      </c>
      <c r="B23" s="775"/>
      <c r="C23" s="910" t="s">
        <v>2086</v>
      </c>
      <c r="D23" s="775"/>
      <c r="E23" s="775"/>
      <c r="F23" s="912"/>
      <c r="G23" s="912"/>
      <c r="H23" s="912"/>
    </row>
    <row r="24" spans="1:8" ht="28.5" customHeight="1">
      <c r="A24" s="775" t="s">
        <v>2087</v>
      </c>
      <c r="B24" s="775"/>
      <c r="C24" s="910" t="s">
        <v>2088</v>
      </c>
      <c r="D24" s="775"/>
      <c r="E24" s="775"/>
      <c r="F24" s="912"/>
      <c r="G24" s="912"/>
      <c r="H24" s="912"/>
    </row>
    <row r="25" spans="1:8" ht="36" customHeight="1">
      <c r="A25" s="775" t="s">
        <v>2089</v>
      </c>
      <c r="B25" s="775"/>
      <c r="C25" s="910" t="s">
        <v>2090</v>
      </c>
      <c r="D25" s="775"/>
      <c r="E25" s="775"/>
      <c r="F25" s="912"/>
      <c r="G25" s="912"/>
      <c r="H25" s="912"/>
    </row>
    <row r="26" spans="1:8" ht="27" customHeight="1">
      <c r="A26" s="775" t="s">
        <v>2091</v>
      </c>
      <c r="B26" s="775"/>
      <c r="C26" s="910" t="s">
        <v>2092</v>
      </c>
      <c r="D26" s="775"/>
      <c r="E26" s="775"/>
      <c r="F26" s="912"/>
      <c r="G26" s="912"/>
      <c r="H26" s="912"/>
    </row>
    <row r="27" spans="1:8" ht="36" customHeight="1">
      <c r="A27" s="775" t="s">
        <v>2093</v>
      </c>
      <c r="B27" s="775"/>
      <c r="C27" s="910" t="s">
        <v>2094</v>
      </c>
      <c r="D27" s="775"/>
      <c r="E27" s="775"/>
      <c r="F27" s="912"/>
      <c r="G27" s="912"/>
      <c r="H27" s="912"/>
    </row>
    <row r="28" spans="1:8" ht="28.5" customHeight="1">
      <c r="A28" s="775" t="s">
        <v>2095</v>
      </c>
      <c r="B28" s="775"/>
      <c r="C28" s="910" t="s">
        <v>2096</v>
      </c>
      <c r="D28" s="775"/>
      <c r="E28" s="775"/>
      <c r="F28" s="912"/>
      <c r="G28" s="912"/>
      <c r="H28" s="912"/>
    </row>
    <row r="29" spans="1:8" ht="126" customHeight="1">
      <c r="A29" s="775" t="s">
        <v>2097</v>
      </c>
      <c r="B29" s="775" t="s">
        <v>1668</v>
      </c>
      <c r="C29" s="910"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5" t="s">
        <v>2098</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2"/>
      <c r="G29" s="912"/>
      <c r="H29" s="775" t="s">
        <v>2099</v>
      </c>
    </row>
    <row r="30" spans="1:8" ht="36" customHeight="1">
      <c r="A30" s="775" t="s">
        <v>2100</v>
      </c>
      <c r="B30" s="775"/>
      <c r="C30" s="910"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5" t="s">
        <v>2101</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2"/>
      <c r="G30" s="912"/>
      <c r="H30" s="912"/>
    </row>
    <row r="31" spans="1:8" ht="54" customHeight="1">
      <c r="A31" s="775" t="s">
        <v>2102</v>
      </c>
      <c r="B31" s="775"/>
      <c r="C31" s="910" t="str">
        <f>IF(TEMPLATE_SPHERE="HEAT",D31,IF(TEMPLATE_SPHERE="TKO",H31,E31))</f>
        <v>Форма 1. Информация об организации, осуществляющей водоотведение (общая информация)</v>
      </c>
      <c r="D31" s="775" t="s">
        <v>2103</v>
      </c>
      <c r="E31" s="77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2"/>
      <c r="G31" s="912"/>
      <c r="H31" s="912"/>
    </row>
    <row r="32" spans="1:8" ht="198" customHeight="1">
      <c r="A32" s="775" t="s">
        <v>2104</v>
      </c>
      <c r="B32" s="775"/>
      <c r="C32" s="910" t="str">
        <f>IF(TEMPLATE_SPHERE="HEAT",D32,IF(TEMPLATE_SPHERE="TKO",H32,E32))</f>
        <v>Форма 7. Информация об инвестиционных программах организации водоотведения и отчетах об их исполнении</v>
      </c>
      <c r="D32" s="775" t="s">
        <v>2105</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2"/>
      <c r="G32" s="912"/>
      <c r="H32" s="775" t="s">
        <v>2106</v>
      </c>
    </row>
    <row r="33" spans="1:8" ht="9" customHeight="1">
      <c r="A33" s="775"/>
      <c r="B33" s="775"/>
      <c r="C33" s="910"/>
      <c r="D33" s="775"/>
      <c r="E33" s="775"/>
      <c r="F33" s="912"/>
      <c r="G33" s="912"/>
      <c r="H33" s="912"/>
    </row>
    <row r="34" spans="1:8" ht="9" customHeight="1">
      <c r="A34" s="775"/>
      <c r="B34" s="775" t="s">
        <v>1604</v>
      </c>
      <c r="C34" s="910">
        <f>INDEX(TEMPLATE_NAME_FORM_LIST,B34,MATCH(TEMPLATE_SPHERE,TEMPLATE_SPHERE_LIST,0))</f>
        <v>0</v>
      </c>
      <c r="D34" s="775"/>
      <c r="E34" s="775"/>
      <c r="F34" s="912"/>
      <c r="G34" s="912"/>
      <c r="H34" s="912"/>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5281"/>
    <col min="3" max="7" width="8" style="5284" customWidth="1"/>
    <col min="8" max="12" width="8.5703125" style="5284" customWidth="1"/>
    <col min="13" max="14" width="27.7109375" style="5284" customWidth="1"/>
    <col min="15" max="19" width="5.140625" style="5284" customWidth="1"/>
    <col min="20" max="24" width="27.7109375" style="5284" customWidth="1"/>
    <col min="25" max="25" width="1.85546875" style="5285" customWidth="1"/>
    <col min="26" max="26" width="27.7109375" style="5281" customWidth="1"/>
    <col min="27" max="27" width="27.7109375" style="5286" customWidth="1"/>
    <col min="28" max="29" width="27.7109375" style="5281" customWidth="1"/>
    <col min="30" max="30" width="3.85546875" style="5281" customWidth="1"/>
    <col min="31" max="34" width="9.140625" style="5281"/>
  </cols>
  <sheetData>
    <row r="1" spans="1:34" s="5283" customFormat="1" ht="18" customHeight="1">
      <c r="A1" s="825"/>
      <c r="B1" s="825"/>
      <c r="C1" s="825" t="s">
        <v>2107</v>
      </c>
      <c r="D1" s="825"/>
      <c r="E1" s="825"/>
      <c r="F1" s="825"/>
      <c r="G1" s="825"/>
      <c r="H1" s="825" t="s">
        <v>2108</v>
      </c>
      <c r="I1" s="825"/>
      <c r="J1" s="825"/>
      <c r="K1" s="825"/>
      <c r="L1" s="825"/>
      <c r="M1" s="825" t="s">
        <v>2109</v>
      </c>
      <c r="N1" s="825" t="s">
        <v>2110</v>
      </c>
      <c r="O1" s="5732" t="s">
        <v>2111</v>
      </c>
      <c r="P1" s="5732"/>
      <c r="Q1" s="5732"/>
      <c r="R1" s="5732"/>
      <c r="S1" s="5732"/>
      <c r="T1" s="5732" t="s">
        <v>2109</v>
      </c>
      <c r="U1" s="5732"/>
      <c r="V1" s="5732"/>
      <c r="W1" s="5732"/>
      <c r="X1" s="5732"/>
      <c r="Y1" s="925"/>
      <c r="Z1" s="5732" t="s">
        <v>2112</v>
      </c>
      <c r="AA1" s="5732"/>
      <c r="AB1" s="5732"/>
      <c r="AC1" s="5732"/>
      <c r="AD1" s="5732"/>
    </row>
    <row r="2" spans="1:34" ht="18" customHeight="1">
      <c r="A2" s="775"/>
      <c r="B2" s="775"/>
      <c r="C2" s="771" t="s">
        <v>899</v>
      </c>
      <c r="D2" s="771" t="s">
        <v>945</v>
      </c>
      <c r="E2" s="771" t="s">
        <v>998</v>
      </c>
      <c r="F2" s="771" t="s">
        <v>985</v>
      </c>
      <c r="G2" s="771" t="s">
        <v>1716</v>
      </c>
      <c r="H2" s="772"/>
      <c r="I2" s="772"/>
      <c r="J2" s="772"/>
      <c r="K2" s="772"/>
      <c r="L2" s="772"/>
      <c r="M2" s="772"/>
      <c r="N2" s="772"/>
      <c r="O2" s="771" t="s">
        <v>899</v>
      </c>
      <c r="P2" s="771" t="s">
        <v>945</v>
      </c>
      <c r="Q2" s="771" t="s">
        <v>985</v>
      </c>
      <c r="R2" s="771" t="s">
        <v>998</v>
      </c>
      <c r="S2" s="771" t="s">
        <v>1716</v>
      </c>
      <c r="T2" s="771" t="s">
        <v>899</v>
      </c>
      <c r="U2" s="771" t="s">
        <v>945</v>
      </c>
      <c r="V2" s="771" t="s">
        <v>985</v>
      </c>
      <c r="W2" s="771" t="s">
        <v>998</v>
      </c>
      <c r="X2" s="771" t="s">
        <v>1716</v>
      </c>
      <c r="Y2" s="771"/>
      <c r="Z2" s="771" t="s">
        <v>899</v>
      </c>
      <c r="AA2" s="779" t="s">
        <v>945</v>
      </c>
      <c r="AB2" s="771" t="s">
        <v>985</v>
      </c>
      <c r="AC2" s="771" t="s">
        <v>998</v>
      </c>
      <c r="AD2" s="771" t="s">
        <v>1716</v>
      </c>
    </row>
    <row r="3" spans="1:34" ht="162" customHeight="1">
      <c r="A3" s="774" t="s">
        <v>26</v>
      </c>
      <c r="B3" s="774"/>
      <c r="C3" s="5736" t="s">
        <v>2113</v>
      </c>
      <c r="D3" s="5737"/>
      <c r="E3" s="5737"/>
      <c r="F3" s="5738"/>
      <c r="G3" s="772"/>
      <c r="H3" s="772"/>
      <c r="I3" s="772"/>
      <c r="J3" s="772"/>
      <c r="K3" s="772"/>
      <c r="L3" s="772"/>
      <c r="M3" s="772"/>
      <c r="N3" s="773"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2"/>
      <c r="P3" s="772"/>
      <c r="Q3" s="772"/>
      <c r="R3" s="772"/>
      <c r="S3" s="772"/>
      <c r="T3" s="772"/>
      <c r="U3" s="772"/>
      <c r="V3" s="772"/>
      <c r="W3" s="772"/>
      <c r="X3" s="772"/>
      <c r="Y3" s="926"/>
      <c r="Z3" s="775" t="s">
        <v>2114</v>
      </c>
      <c r="AA3" s="772" t="s">
        <v>2115</v>
      </c>
      <c r="AB3" s="775" t="s">
        <v>2116</v>
      </c>
      <c r="AC3" s="775" t="s">
        <v>2117</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6"/>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6"/>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6"/>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6"/>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6"/>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6"/>
      <c r="Z9" s="775"/>
      <c r="AA9" s="778"/>
      <c r="AB9" s="775"/>
      <c r="AC9" s="775"/>
      <c r="AD9" s="775"/>
    </row>
    <row r="10" spans="1:34" ht="9" customHeight="1">
      <c r="A10" s="826"/>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row>
    <row r="11" spans="1:34" ht="45" customHeight="1">
      <c r="A11" s="5733" t="s">
        <v>33</v>
      </c>
      <c r="B11" s="826">
        <v>1</v>
      </c>
      <c r="C11" s="5739" t="s">
        <v>1655</v>
      </c>
      <c r="D11" s="5739" t="s">
        <v>1651</v>
      </c>
      <c r="E11" s="5739" t="s">
        <v>1748</v>
      </c>
      <c r="F11" s="5739" t="s">
        <v>2118</v>
      </c>
      <c r="G11" s="5739"/>
      <c r="H11" s="825" t="s">
        <v>2119</v>
      </c>
      <c r="I11" s="825"/>
      <c r="J11" s="825"/>
      <c r="K11" s="825"/>
      <c r="L11" s="825"/>
      <c r="M11" s="773" t="str">
        <f>IF(TEMPLATE_SPHERE="HEAT",T11,U11)</f>
        <v xml:space="preserve">Количество поданных заявлений </v>
      </c>
      <c r="N11" s="773"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2"/>
      <c r="P11" s="772"/>
      <c r="Q11" s="772"/>
      <c r="R11" s="772"/>
      <c r="S11" s="772"/>
      <c r="T11" s="772" t="s">
        <v>2120</v>
      </c>
      <c r="U11" s="772" t="s">
        <v>2121</v>
      </c>
      <c r="V11" s="772"/>
      <c r="W11" s="772"/>
      <c r="X11" s="772"/>
      <c r="Y11" s="926"/>
      <c r="Z11" s="775" t="s">
        <v>2122</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5"/>
      <c r="AC11" s="775"/>
      <c r="AD11" s="775"/>
    </row>
    <row r="12" spans="1:34" ht="45" customHeight="1">
      <c r="A12" s="5733"/>
      <c r="B12" s="826">
        <v>2</v>
      </c>
      <c r="C12" s="5740"/>
      <c r="D12" s="5740"/>
      <c r="E12" s="5740"/>
      <c r="F12" s="5740"/>
      <c r="G12" s="5740"/>
      <c r="H12" s="825" t="s">
        <v>2123</v>
      </c>
      <c r="I12" s="825"/>
      <c r="J12" s="825"/>
      <c r="K12" s="825"/>
      <c r="L12" s="825"/>
      <c r="M12" s="773" t="str">
        <f>IF(TEMPLATE_SPHERE="HEAT",T12,U12)</f>
        <v xml:space="preserve">Количество исполненных заявлений </v>
      </c>
      <c r="N12" s="773"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2"/>
      <c r="P12" s="772"/>
      <c r="Q12" s="772"/>
      <c r="R12" s="772"/>
      <c r="S12" s="772"/>
      <c r="T12" s="772" t="s">
        <v>2124</v>
      </c>
      <c r="U12" s="772" t="s">
        <v>2125</v>
      </c>
      <c r="V12" s="772"/>
      <c r="W12" s="772"/>
      <c r="X12" s="772"/>
      <c r="Y12" s="926"/>
      <c r="Z12" s="775" t="s">
        <v>2126</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5"/>
      <c r="AC12" s="775"/>
      <c r="AD12" s="775"/>
    </row>
    <row r="13" spans="1:34" ht="72" customHeight="1">
      <c r="A13" s="5733"/>
      <c r="B13" s="826">
        <v>3</v>
      </c>
      <c r="C13" s="5740"/>
      <c r="D13" s="5740"/>
      <c r="E13" s="5740"/>
      <c r="F13" s="5740"/>
      <c r="G13" s="5740"/>
      <c r="H13" s="5732" t="s">
        <v>2127</v>
      </c>
      <c r="I13" s="825"/>
      <c r="J13" s="825"/>
      <c r="K13" s="825"/>
      <c r="L13" s="825"/>
      <c r="M13" s="773"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3"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2"/>
      <c r="P13" s="773"/>
      <c r="Q13" s="773"/>
      <c r="R13" s="773"/>
      <c r="S13" s="772"/>
      <c r="T13" s="772" t="s">
        <v>2128</v>
      </c>
      <c r="U13" s="773" t="s">
        <v>2129</v>
      </c>
      <c r="V13" s="773"/>
      <c r="W13" s="773"/>
      <c r="X13" s="772"/>
      <c r="Y13" s="926"/>
      <c r="Z13" s="775" t="s">
        <v>2130</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5"/>
      <c r="AC13" s="775"/>
      <c r="AD13" s="775"/>
    </row>
    <row r="14" spans="1:34" ht="45" customHeight="1">
      <c r="A14" s="5733"/>
      <c r="B14" s="826">
        <v>4</v>
      </c>
      <c r="C14" s="5740"/>
      <c r="D14" s="5740"/>
      <c r="E14" s="5740"/>
      <c r="F14" s="5740"/>
      <c r="G14" s="5740"/>
      <c r="H14" s="5732"/>
      <c r="I14" s="828"/>
      <c r="J14" s="828"/>
      <c r="K14" s="828"/>
      <c r="L14" s="828"/>
      <c r="M14" s="776"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2131</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3"/>
      <c r="W14" s="773"/>
      <c r="X14" s="772"/>
      <c r="Y14" s="926"/>
      <c r="Z14" s="775" t="s">
        <v>2132</v>
      </c>
      <c r="AA14" s="778" t="s">
        <v>2132</v>
      </c>
      <c r="AB14" s="775"/>
      <c r="AC14" s="775"/>
      <c r="AD14" s="775"/>
    </row>
    <row r="15" spans="1:34" ht="108" customHeight="1">
      <c r="A15" s="5733"/>
      <c r="B15" s="826">
        <v>5</v>
      </c>
      <c r="C15" s="5740"/>
      <c r="D15" s="5740"/>
      <c r="E15" s="5740"/>
      <c r="F15" s="5740"/>
      <c r="G15" s="5740"/>
      <c r="H15" s="5734" t="s">
        <v>2133</v>
      </c>
      <c r="I15" s="827"/>
      <c r="J15" s="827"/>
      <c r="K15" s="827"/>
      <c r="L15" s="827"/>
      <c r="M15" s="778"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7"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2"/>
      <c r="P15" s="773"/>
      <c r="Q15" s="773"/>
      <c r="R15" s="773"/>
      <c r="S15" s="772"/>
      <c r="T15" s="772" t="s">
        <v>2134</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3"/>
      <c r="W15" s="773"/>
      <c r="X15" s="772"/>
      <c r="Y15" s="926"/>
      <c r="Z15" s="775" t="s">
        <v>2135</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5"/>
      <c r="AC15" s="775"/>
      <c r="AD15" s="775"/>
    </row>
    <row r="16" spans="1:34" ht="108" customHeight="1">
      <c r="A16" s="826"/>
      <c r="B16" s="826">
        <v>6</v>
      </c>
      <c r="C16" s="5741"/>
      <c r="D16" s="5741"/>
      <c r="E16" s="5741"/>
      <c r="F16" s="5741"/>
      <c r="G16" s="5741"/>
      <c r="H16" s="5735"/>
      <c r="I16" s="889"/>
      <c r="J16" s="889"/>
      <c r="K16" s="889"/>
      <c r="L16" s="889"/>
      <c r="M16" s="819"/>
      <c r="N16" s="777"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2"/>
      <c r="P16" s="773"/>
      <c r="Q16" s="773"/>
      <c r="R16" s="773"/>
      <c r="S16" s="772"/>
      <c r="T16" s="772"/>
      <c r="U16" s="773"/>
      <c r="V16" s="773"/>
      <c r="W16" s="773"/>
      <c r="X16" s="772"/>
      <c r="Y16" s="926"/>
      <c r="Z16" s="775" t="s">
        <v>2135</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5"/>
      <c r="AC16" s="775"/>
      <c r="AD16" s="775"/>
    </row>
    <row r="17" spans="1:30" ht="9" customHeight="1">
      <c r="A17" s="826"/>
      <c r="B17" s="826"/>
      <c r="C17" s="826">
        <v>22</v>
      </c>
      <c r="D17" s="826">
        <v>21</v>
      </c>
      <c r="E17" s="826">
        <v>42</v>
      </c>
      <c r="F17" s="826">
        <v>63</v>
      </c>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row>
    <row r="18" spans="1:30" ht="27" customHeight="1">
      <c r="A18" s="774" t="s">
        <v>1751</v>
      </c>
      <c r="B18" s="826">
        <v>1</v>
      </c>
      <c r="C18" s="772" t="s">
        <v>2119</v>
      </c>
      <c r="D18" s="894" t="s">
        <v>2119</v>
      </c>
      <c r="E18" s="772" t="s">
        <v>2119</v>
      </c>
      <c r="F18" s="772" t="s">
        <v>2119</v>
      </c>
      <c r="G18" s="772"/>
      <c r="H18" s="927"/>
      <c r="I18" s="930">
        <f t="shared" ref="I18:I49" si="1">INDEX(TEMPLATE_NUMBER_POINT_FHD,B18,MATCH(TEMPLATE_SPHERE,TEMPLATE_SPHERE_LIST_FOR_NOTE,0))</f>
        <v>1</v>
      </c>
      <c r="J18" s="930" t="str">
        <f t="shared" ref="J18:J49" si="2">INDEX(TEMPLATE_DATA_POINT_FHD,B18,MATCH(TEMPLATE_SPHERE,TEMPLATE_SPHERE_LIST_FOR_NOTE,0))</f>
        <v>Выручка от регулируемых видов деятельности в сфере водоотведения</v>
      </c>
      <c r="K18" s="930" t="str">
        <f t="shared" ref="K18:K49" si="3">INDEX(TEMPLATE_NOTE_POINT_FHD,B18,MATCH(TEMPLATE_SPHERE,TEMPLATE_SPHERE_LIST_FOR_NOTE,0))</f>
        <v>Указывается выручка с распределением по видам деятельности.</v>
      </c>
      <c r="L18" s="773">
        <f t="shared" ref="L18:L49" si="4">IF(I18=0,"",I18)</f>
        <v>1</v>
      </c>
      <c r="M18" s="773" t="str">
        <f t="shared" ref="M18:M49" si="5">IF(J18=0,"",J18)</f>
        <v>Выручка от регулируемых видов деятельности в сфере водоотведения</v>
      </c>
      <c r="N18" s="773" t="str">
        <f t="shared" ref="N18:N49" si="6">IF(K18=0,"",K18)</f>
        <v>Указывается выручка с распределением по видам деятельности.</v>
      </c>
      <c r="O18" s="884">
        <v>1</v>
      </c>
      <c r="P18" s="884">
        <v>1</v>
      </c>
      <c r="Q18" s="884">
        <v>1</v>
      </c>
      <c r="R18" s="884">
        <v>1</v>
      </c>
      <c r="S18" s="884"/>
      <c r="T18" s="891" t="s">
        <v>2136</v>
      </c>
      <c r="U18" s="775" t="s">
        <v>2137</v>
      </c>
      <c r="V18" s="775" t="s">
        <v>2138</v>
      </c>
      <c r="W18" s="775" t="s">
        <v>2139</v>
      </c>
      <c r="X18" s="772"/>
      <c r="Y18" s="926"/>
      <c r="Z18" s="775" t="s">
        <v>2140</v>
      </c>
      <c r="AA18" s="778" t="s">
        <v>2141</v>
      </c>
      <c r="AB18" s="778" t="s">
        <v>2141</v>
      </c>
      <c r="AC18" s="778" t="s">
        <v>2141</v>
      </c>
      <c r="AD18" s="775"/>
    </row>
    <row r="19" spans="1:30" ht="36" customHeight="1">
      <c r="A19" s="774"/>
      <c r="B19" s="826">
        <v>2</v>
      </c>
      <c r="C19" s="772" t="s">
        <v>2123</v>
      </c>
      <c r="D19" s="894" t="s">
        <v>2123</v>
      </c>
      <c r="E19" s="772" t="s">
        <v>2123</v>
      </c>
      <c r="F19" s="772" t="s">
        <v>2123</v>
      </c>
      <c r="G19" s="772"/>
      <c r="H19" s="927"/>
      <c r="I19" s="930">
        <f t="shared" si="1"/>
        <v>2</v>
      </c>
      <c r="J19" s="930" t="str">
        <f t="shared" si="2"/>
        <v>Себестоимость производимых товаров (оказываемых услуг) по регулируемым видам деятельности в сфере водоотведения, включая:</v>
      </c>
      <c r="K19" s="930"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регулируемым видам деятельности в сфере водоотведения, включая:</v>
      </c>
      <c r="N19" s="773" t="str">
        <f t="shared" si="6"/>
        <v>Указывается суммарная себестоимость производимых товаров.</v>
      </c>
      <c r="O19" s="884">
        <v>2</v>
      </c>
      <c r="P19" s="884">
        <v>2</v>
      </c>
      <c r="Q19" s="884">
        <v>2</v>
      </c>
      <c r="R19" s="884">
        <v>2</v>
      </c>
      <c r="S19" s="884"/>
      <c r="T19" s="891" t="s">
        <v>2142</v>
      </c>
      <c r="U19" s="775" t="s">
        <v>2143</v>
      </c>
      <c r="V19" s="775" t="s">
        <v>2144</v>
      </c>
      <c r="W19" s="775" t="s">
        <v>2145</v>
      </c>
      <c r="X19" s="772"/>
      <c r="Y19" s="926"/>
      <c r="Z19" s="775" t="s">
        <v>2146</v>
      </c>
      <c r="AA19" s="778" t="s">
        <v>2146</v>
      </c>
      <c r="AB19" s="778" t="s">
        <v>2146</v>
      </c>
      <c r="AC19" s="778" t="s">
        <v>2146</v>
      </c>
      <c r="AD19" s="775"/>
    </row>
    <row r="20" spans="1:30" ht="27" customHeight="1">
      <c r="A20" s="774"/>
      <c r="B20" s="826">
        <v>3</v>
      </c>
      <c r="C20" s="772">
        <v>1</v>
      </c>
      <c r="D20" s="894"/>
      <c r="E20" s="772"/>
      <c r="F20" s="772"/>
      <c r="G20" s="772"/>
      <c r="H20" s="927"/>
      <c r="I20" s="930" t="str">
        <f t="shared" si="1"/>
        <v>2.1</v>
      </c>
      <c r="J20" s="930" t="str">
        <f t="shared" si="2"/>
        <v>Расходы на оплату услуг по приему, транспортировке и очистке сточных вод другими организациями</v>
      </c>
      <c r="K20" s="930">
        <f t="shared" si="3"/>
        <v>0</v>
      </c>
      <c r="L20" s="773" t="str">
        <f t="shared" si="4"/>
        <v>2.1</v>
      </c>
      <c r="M20" s="773" t="str">
        <f t="shared" si="5"/>
        <v>Расходы на оплату услуг по приему, транспортировке и очистке сточных вод другими организациями</v>
      </c>
      <c r="N20" s="773" t="str">
        <f t="shared" si="6"/>
        <v/>
      </c>
      <c r="O20" s="884" t="s">
        <v>800</v>
      </c>
      <c r="P20" s="884" t="s">
        <v>800</v>
      </c>
      <c r="Q20" s="884" t="s">
        <v>800</v>
      </c>
      <c r="R20" s="884" t="s">
        <v>800</v>
      </c>
      <c r="S20" s="884"/>
      <c r="T20" s="891" t="s">
        <v>2147</v>
      </c>
      <c r="U20" s="775" t="s">
        <v>2148</v>
      </c>
      <c r="V20" s="775" t="s">
        <v>2149</v>
      </c>
      <c r="W20" s="775" t="s">
        <v>2150</v>
      </c>
      <c r="X20" s="772"/>
      <c r="Y20" s="926"/>
      <c r="Z20" s="775"/>
      <c r="AA20" s="778"/>
      <c r="AB20" s="775"/>
      <c r="AC20" s="775"/>
      <c r="AD20" s="775"/>
    </row>
    <row r="21" spans="1:30" ht="36" customHeight="1">
      <c r="A21" s="774"/>
      <c r="B21" s="826">
        <v>4</v>
      </c>
      <c r="C21" s="772">
        <v>2</v>
      </c>
      <c r="D21" s="894"/>
      <c r="E21" s="772"/>
      <c r="F21" s="772"/>
      <c r="G21" s="772"/>
      <c r="H21" s="927"/>
      <c r="I21" s="930">
        <f t="shared" si="1"/>
        <v>0</v>
      </c>
      <c r="J21" s="930">
        <f t="shared" si="2"/>
        <v>0</v>
      </c>
      <c r="K21" s="930">
        <f t="shared" si="3"/>
        <v>0</v>
      </c>
      <c r="L21" s="773" t="str">
        <f t="shared" si="4"/>
        <v/>
      </c>
      <c r="M21" s="773" t="str">
        <f t="shared" si="5"/>
        <v/>
      </c>
      <c r="N21" s="773" t="str">
        <f t="shared" si="6"/>
        <v/>
      </c>
      <c r="O21" s="884" t="s">
        <v>400</v>
      </c>
      <c r="P21" s="884"/>
      <c r="Q21" s="884"/>
      <c r="R21" s="884"/>
      <c r="S21" s="884"/>
      <c r="T21" s="891" t="s">
        <v>2151</v>
      </c>
      <c r="U21" s="775"/>
      <c r="V21" s="775"/>
      <c r="W21" s="775"/>
      <c r="X21" s="772"/>
      <c r="Y21" s="926"/>
      <c r="Z21" s="775" t="s">
        <v>2152</v>
      </c>
      <c r="AA21" s="778"/>
      <c r="AB21" s="775"/>
      <c r="AC21" s="775"/>
      <c r="AD21" s="775"/>
    </row>
    <row r="22" spans="1:30" ht="36" customHeight="1">
      <c r="A22" s="774"/>
      <c r="B22" s="826">
        <v>5</v>
      </c>
      <c r="C22" s="772">
        <v>3</v>
      </c>
      <c r="D22" s="894"/>
      <c r="E22" s="772"/>
      <c r="F22" s="772"/>
      <c r="G22" s="818"/>
      <c r="H22" s="885"/>
      <c r="I22" s="930">
        <f t="shared" si="1"/>
        <v>0</v>
      </c>
      <c r="J22" s="930">
        <f t="shared" si="2"/>
        <v>0</v>
      </c>
      <c r="K22" s="930">
        <f t="shared" si="3"/>
        <v>0</v>
      </c>
      <c r="L22" s="773" t="str">
        <f t="shared" si="4"/>
        <v/>
      </c>
      <c r="M22" s="773" t="str">
        <f t="shared" si="5"/>
        <v/>
      </c>
      <c r="N22" s="773" t="str">
        <f t="shared" si="6"/>
        <v/>
      </c>
      <c r="O22" s="884"/>
      <c r="P22" s="884"/>
      <c r="Q22" s="884" t="s">
        <v>400</v>
      </c>
      <c r="R22" s="884"/>
      <c r="S22" s="884"/>
      <c r="T22" s="891"/>
      <c r="U22" s="775"/>
      <c r="V22" s="775" t="s">
        <v>2153</v>
      </c>
      <c r="W22" s="775"/>
      <c r="X22" s="772"/>
      <c r="Y22" s="926"/>
      <c r="Z22" s="775"/>
      <c r="AA22" s="778"/>
      <c r="AB22" s="775"/>
      <c r="AC22" s="775"/>
      <c r="AD22" s="775"/>
    </row>
    <row r="23" spans="1:30" ht="27" customHeight="1">
      <c r="A23" s="774"/>
      <c r="B23" s="826">
        <v>6</v>
      </c>
      <c r="C23" s="772">
        <v>4</v>
      </c>
      <c r="D23" s="894"/>
      <c r="E23" s="772"/>
      <c r="F23" s="772"/>
      <c r="G23" s="818"/>
      <c r="H23" s="885"/>
      <c r="I23" s="930">
        <f t="shared" si="1"/>
        <v>0</v>
      </c>
      <c r="J23" s="930">
        <f t="shared" si="2"/>
        <v>0</v>
      </c>
      <c r="K23" s="930">
        <f t="shared" si="3"/>
        <v>0</v>
      </c>
      <c r="L23" s="773" t="str">
        <f t="shared" si="4"/>
        <v/>
      </c>
      <c r="M23" s="773" t="str">
        <f t="shared" si="5"/>
        <v/>
      </c>
      <c r="N23" s="773" t="str">
        <f t="shared" si="6"/>
        <v/>
      </c>
      <c r="O23" s="884"/>
      <c r="P23" s="884"/>
      <c r="Q23" s="884" t="s">
        <v>403</v>
      </c>
      <c r="R23" s="884"/>
      <c r="S23" s="884"/>
      <c r="T23" s="891"/>
      <c r="U23" s="775"/>
      <c r="V23" s="775" t="s">
        <v>2154</v>
      </c>
      <c r="W23" s="775"/>
      <c r="X23" s="772"/>
      <c r="Y23" s="926"/>
      <c r="Z23" s="775"/>
      <c r="AA23" s="778"/>
      <c r="AB23" s="775"/>
      <c r="AC23" s="775"/>
      <c r="AD23" s="775"/>
    </row>
    <row r="24" spans="1:30" ht="36" customHeight="1">
      <c r="A24" s="774"/>
      <c r="B24" s="826">
        <v>7</v>
      </c>
      <c r="C24" s="772">
        <v>5</v>
      </c>
      <c r="D24" s="894"/>
      <c r="E24" s="772"/>
      <c r="F24" s="772"/>
      <c r="G24" s="818"/>
      <c r="H24" s="885"/>
      <c r="I24" s="930">
        <f t="shared" si="1"/>
        <v>0</v>
      </c>
      <c r="J24" s="930">
        <f t="shared" si="2"/>
        <v>0</v>
      </c>
      <c r="K24" s="930">
        <f t="shared" si="3"/>
        <v>0</v>
      </c>
      <c r="L24" s="773" t="str">
        <f t="shared" si="4"/>
        <v/>
      </c>
      <c r="M24" s="773" t="str">
        <f t="shared" si="5"/>
        <v/>
      </c>
      <c r="N24" s="773" t="str">
        <f t="shared" si="6"/>
        <v/>
      </c>
      <c r="O24" s="884"/>
      <c r="P24" s="884"/>
      <c r="Q24" s="884" t="s">
        <v>820</v>
      </c>
      <c r="R24" s="884"/>
      <c r="S24" s="884"/>
      <c r="T24" s="891"/>
      <c r="U24" s="775"/>
      <c r="V24" s="775" t="s">
        <v>2155</v>
      </c>
      <c r="W24" s="775"/>
      <c r="X24" s="772"/>
      <c r="Y24" s="926"/>
      <c r="Z24" s="775"/>
      <c r="AA24" s="778"/>
      <c r="AB24" s="775"/>
      <c r="AC24" s="775"/>
      <c r="AD24" s="775"/>
    </row>
    <row r="25" spans="1:30" ht="36" customHeight="1">
      <c r="A25" s="774"/>
      <c r="B25" s="826">
        <v>8</v>
      </c>
      <c r="C25" s="772">
        <v>6</v>
      </c>
      <c r="D25" s="894"/>
      <c r="E25" s="772"/>
      <c r="F25" s="772"/>
      <c r="G25" s="818"/>
      <c r="H25" s="885"/>
      <c r="I25" s="930" t="str">
        <f t="shared" si="1"/>
        <v>2.2</v>
      </c>
      <c r="J25" s="930" t="str">
        <f t="shared" si="2"/>
        <v>Расходы на приобретаемую электрическую энергию (мощность), используемую в технологическом процессе</v>
      </c>
      <c r="K25" s="930">
        <f t="shared" si="3"/>
        <v>0</v>
      </c>
      <c r="L25" s="773" t="str">
        <f t="shared" si="4"/>
        <v>2.2</v>
      </c>
      <c r="M25" s="773" t="str">
        <f t="shared" si="5"/>
        <v>Расходы на приобретаемую электрическую энергию (мощность), используемую в технологическом процессе</v>
      </c>
      <c r="N25" s="773" t="str">
        <f t="shared" si="6"/>
        <v/>
      </c>
      <c r="O25" s="884" t="s">
        <v>403</v>
      </c>
      <c r="P25" s="884" t="s">
        <v>400</v>
      </c>
      <c r="Q25" s="884" t="s">
        <v>827</v>
      </c>
      <c r="R25" s="884" t="s">
        <v>400</v>
      </c>
      <c r="S25" s="884"/>
      <c r="T25" s="891" t="s">
        <v>2156</v>
      </c>
      <c r="U25" s="775" t="s">
        <v>2156</v>
      </c>
      <c r="V25" s="775" t="s">
        <v>2156</v>
      </c>
      <c r="W25" s="775" t="s">
        <v>2156</v>
      </c>
      <c r="X25" s="772"/>
      <c r="Y25" s="926"/>
      <c r="Z25" s="775"/>
      <c r="AA25" s="778"/>
      <c r="AB25" s="775"/>
      <c r="AC25" s="775"/>
      <c r="AD25" s="775"/>
    </row>
    <row r="26" spans="1:30" ht="18" customHeight="1">
      <c r="A26" s="774"/>
      <c r="B26" s="826">
        <v>9</v>
      </c>
      <c r="C26" s="772" t="s">
        <v>744</v>
      </c>
      <c r="D26" s="894"/>
      <c r="E26" s="772"/>
      <c r="F26" s="772"/>
      <c r="G26" s="818"/>
      <c r="H26" s="885"/>
      <c r="I26" s="930" t="str">
        <f t="shared" si="1"/>
        <v>2.2.1</v>
      </c>
      <c r="J26" s="930" t="str">
        <f t="shared" si="2"/>
        <v>Средневзвешенная стоимость 1 кВт.ч (с учетом мощности)</v>
      </c>
      <c r="K26" s="930">
        <f t="shared" si="3"/>
        <v>0</v>
      </c>
      <c r="L26" s="773" t="str">
        <f t="shared" si="4"/>
        <v>2.2.1</v>
      </c>
      <c r="M26" s="773" t="str">
        <f t="shared" si="5"/>
        <v>Средневзвешенная стоимость 1 кВт.ч (с учетом мощности)</v>
      </c>
      <c r="N26" s="773" t="str">
        <f t="shared" si="6"/>
        <v/>
      </c>
      <c r="O26" s="884" t="s">
        <v>816</v>
      </c>
      <c r="P26" s="884" t="s">
        <v>810</v>
      </c>
      <c r="Q26" s="884" t="s">
        <v>2157</v>
      </c>
      <c r="R26" s="884" t="s">
        <v>810</v>
      </c>
      <c r="S26" s="884"/>
      <c r="T26" s="891" t="str">
        <f>"Средневзвешенная стоимость 1 кВт.ч"&amp;IF(TITLE_TYPE_ORG="Регулируемая организация"," (с учетом мощности)","")</f>
        <v>Средневзвешенная стоимость 1 кВт.ч</v>
      </c>
      <c r="U26" s="891" t="s">
        <v>2158</v>
      </c>
      <c r="V26" s="891" t="s">
        <v>2158</v>
      </c>
      <c r="W26" s="891" t="s">
        <v>2158</v>
      </c>
      <c r="X26" s="772"/>
      <c r="Y26" s="926"/>
      <c r="Z26" s="775"/>
      <c r="AA26" s="778"/>
      <c r="AB26" s="775"/>
      <c r="AC26" s="775"/>
      <c r="AD26" s="775"/>
    </row>
    <row r="27" spans="1:30" ht="18" customHeight="1">
      <c r="A27" s="774"/>
      <c r="B27" s="826">
        <v>10</v>
      </c>
      <c r="C27" s="772" t="s">
        <v>748</v>
      </c>
      <c r="D27" s="894"/>
      <c r="E27" s="772"/>
      <c r="F27" s="772"/>
      <c r="G27" s="818"/>
      <c r="H27" s="885"/>
      <c r="I27" s="930" t="str">
        <f t="shared" si="1"/>
        <v>2.2.2</v>
      </c>
      <c r="J27" s="930" t="str">
        <f t="shared" si="2"/>
        <v>Объём приобретения электрической энергии</v>
      </c>
      <c r="K27" s="930">
        <f t="shared" si="3"/>
        <v>0</v>
      </c>
      <c r="L27" s="773" t="str">
        <f t="shared" si="4"/>
        <v>2.2.2</v>
      </c>
      <c r="M27" s="773" t="str">
        <f t="shared" si="5"/>
        <v>Объём приобретения электрической энергии</v>
      </c>
      <c r="N27" s="773" t="str">
        <f t="shared" si="6"/>
        <v/>
      </c>
      <c r="O27" s="884" t="s">
        <v>818</v>
      </c>
      <c r="P27" s="884" t="s">
        <v>812</v>
      </c>
      <c r="Q27" s="884" t="s">
        <v>2159</v>
      </c>
      <c r="R27" s="884" t="s">
        <v>812</v>
      </c>
      <c r="S27" s="884"/>
      <c r="T27" s="891" t="s">
        <v>2160</v>
      </c>
      <c r="U27" s="891" t="s">
        <v>2160</v>
      </c>
      <c r="V27" s="891" t="s">
        <v>2160</v>
      </c>
      <c r="W27" s="891" t="s">
        <v>2160</v>
      </c>
      <c r="X27" s="772"/>
      <c r="Y27" s="926"/>
      <c r="Z27" s="775"/>
      <c r="AA27" s="778"/>
      <c r="AB27" s="775"/>
      <c r="AC27" s="775"/>
      <c r="AD27" s="775"/>
    </row>
    <row r="28" spans="1:30" ht="27" customHeight="1">
      <c r="A28" s="774"/>
      <c r="B28" s="826">
        <v>11</v>
      </c>
      <c r="C28" s="772">
        <v>7</v>
      </c>
      <c r="D28" s="894"/>
      <c r="E28" s="772"/>
      <c r="F28" s="772"/>
      <c r="G28" s="818"/>
      <c r="H28" s="885"/>
      <c r="I28" s="930">
        <f t="shared" si="1"/>
        <v>0</v>
      </c>
      <c r="J28" s="930">
        <f t="shared" si="2"/>
        <v>0</v>
      </c>
      <c r="K28" s="930">
        <f t="shared" si="3"/>
        <v>0</v>
      </c>
      <c r="L28" s="773" t="str">
        <f t="shared" si="4"/>
        <v/>
      </c>
      <c r="M28" s="773" t="str">
        <f t="shared" si="5"/>
        <v/>
      </c>
      <c r="N28" s="773" t="str">
        <f t="shared" si="6"/>
        <v/>
      </c>
      <c r="O28" s="884" t="s">
        <v>820</v>
      </c>
      <c r="P28" s="884"/>
      <c r="Q28" s="884"/>
      <c r="R28" s="884"/>
      <c r="S28" s="884"/>
      <c r="T28" s="891" t="s">
        <v>2161</v>
      </c>
      <c r="U28" s="775"/>
      <c r="V28" s="775"/>
      <c r="W28" s="775"/>
      <c r="X28" s="772"/>
      <c r="Y28" s="926"/>
      <c r="Z28" s="775"/>
      <c r="AA28" s="778"/>
      <c r="AB28" s="775"/>
      <c r="AC28" s="775"/>
      <c r="AD28" s="775"/>
    </row>
    <row r="29" spans="1:30" ht="27" customHeight="1">
      <c r="A29" s="774"/>
      <c r="B29" s="826">
        <v>12</v>
      </c>
      <c r="C29" s="772">
        <v>8</v>
      </c>
      <c r="D29" s="894"/>
      <c r="E29" s="772"/>
      <c r="F29" s="772"/>
      <c r="G29" s="818"/>
      <c r="H29" s="885"/>
      <c r="I29" s="930" t="str">
        <f t="shared" si="1"/>
        <v>2.3</v>
      </c>
      <c r="J29" s="930" t="str">
        <f t="shared" si="2"/>
        <v>Расходы на химические реагенты, используемые в технологическом процессе</v>
      </c>
      <c r="K29" s="930">
        <f t="shared" si="3"/>
        <v>0</v>
      </c>
      <c r="L29" s="773" t="str">
        <f t="shared" si="4"/>
        <v>2.3</v>
      </c>
      <c r="M29" s="773" t="str">
        <f t="shared" si="5"/>
        <v>Расходы на химические реагенты, используемые в технологическом процессе</v>
      </c>
      <c r="N29" s="773" t="str">
        <f t="shared" si="6"/>
        <v/>
      </c>
      <c r="O29" s="884" t="s">
        <v>827</v>
      </c>
      <c r="P29" s="884" t="s">
        <v>403</v>
      </c>
      <c r="Q29" s="884"/>
      <c r="R29" s="884" t="s">
        <v>403</v>
      </c>
      <c r="S29" s="884"/>
      <c r="T29" s="89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5" t="s">
        <v>2162</v>
      </c>
      <c r="V29" s="775"/>
      <c r="W29" s="775" t="s">
        <v>2162</v>
      </c>
      <c r="X29" s="772"/>
      <c r="Y29" s="926"/>
      <c r="Z29" s="775"/>
      <c r="AA29" s="778"/>
      <c r="AB29" s="775"/>
      <c r="AC29" s="775"/>
      <c r="AD29" s="775"/>
    </row>
    <row r="30" spans="1:30" ht="54" customHeight="1">
      <c r="A30" s="774"/>
      <c r="B30" s="826">
        <v>13</v>
      </c>
      <c r="C30" s="772">
        <v>9</v>
      </c>
      <c r="D30" s="894"/>
      <c r="E30" s="772"/>
      <c r="F30" s="772"/>
      <c r="G30" s="818"/>
      <c r="H30" s="885"/>
      <c r="I30" s="930" t="str">
        <f t="shared" si="1"/>
        <v>2.4</v>
      </c>
      <c r="J30" s="930"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0" t="str">
        <f t="shared" si="3"/>
        <v>Указывается общая сумма расходов на оплату труда и отчислений на социальные нужды основного производственного персонала.</v>
      </c>
      <c r="L30" s="773" t="str">
        <f t="shared" si="4"/>
        <v>2.4</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Указывается общая сумма расходов на оплату труда и отчислений на социальные нужды основного производственного персонала.</v>
      </c>
      <c r="O30" s="884" t="s">
        <v>829</v>
      </c>
      <c r="P30" s="884" t="s">
        <v>820</v>
      </c>
      <c r="Q30" s="884" t="s">
        <v>829</v>
      </c>
      <c r="R30" s="884" t="s">
        <v>820</v>
      </c>
      <c r="S30" s="884"/>
      <c r="T30" s="891" t="s">
        <v>2163</v>
      </c>
      <c r="U30" s="775" t="s">
        <v>2163</v>
      </c>
      <c r="V30" s="775" t="s">
        <v>2163</v>
      </c>
      <c r="W30" s="775" t="s">
        <v>2163</v>
      </c>
      <c r="X30" s="772"/>
      <c r="Y30" s="926"/>
      <c r="Z30" s="775"/>
      <c r="AA30" s="778" t="s">
        <v>2164</v>
      </c>
      <c r="AB30" s="778" t="s">
        <v>2164</v>
      </c>
      <c r="AC30" s="778" t="s">
        <v>2164</v>
      </c>
      <c r="AD30" s="775"/>
    </row>
    <row r="31" spans="1:30" ht="18" customHeight="1">
      <c r="A31" s="774"/>
      <c r="B31" s="826">
        <v>14</v>
      </c>
      <c r="C31" s="772" t="s">
        <v>2165</v>
      </c>
      <c r="D31" s="894"/>
      <c r="E31" s="772"/>
      <c r="F31" s="772"/>
      <c r="G31" s="818"/>
      <c r="H31" s="885"/>
      <c r="I31" s="930" t="str">
        <f t="shared" si="1"/>
        <v>2.4.1</v>
      </c>
      <c r="J31" s="930" t="str">
        <f t="shared" si="2"/>
        <v>Расходы на оплату труда основного производственного персонала</v>
      </c>
      <c r="K31" s="930">
        <f t="shared" si="3"/>
        <v>0</v>
      </c>
      <c r="L31" s="773" t="str">
        <f t="shared" si="4"/>
        <v>2.4.1</v>
      </c>
      <c r="M31" s="773" t="str">
        <f t="shared" si="5"/>
        <v>Расходы на оплату труда основного производственного персонала</v>
      </c>
      <c r="N31" s="773" t="str">
        <f t="shared" si="6"/>
        <v/>
      </c>
      <c r="O31" s="884" t="s">
        <v>2166</v>
      </c>
      <c r="P31" s="884" t="s">
        <v>823</v>
      </c>
      <c r="Q31" s="884" t="s">
        <v>2166</v>
      </c>
      <c r="R31" s="884" t="s">
        <v>823</v>
      </c>
      <c r="S31" s="884"/>
      <c r="T31" s="892" t="s">
        <v>2167</v>
      </c>
      <c r="U31" s="775" t="s">
        <v>2167</v>
      </c>
      <c r="V31" s="775" t="s">
        <v>2167</v>
      </c>
      <c r="W31" s="775" t="s">
        <v>2167</v>
      </c>
      <c r="X31" s="772"/>
      <c r="Y31" s="926"/>
      <c r="Z31" s="775"/>
      <c r="AA31" s="778"/>
      <c r="AB31" s="778"/>
      <c r="AC31" s="778"/>
      <c r="AD31" s="775"/>
    </row>
    <row r="32" spans="1:30" ht="36" customHeight="1">
      <c r="A32" s="774"/>
      <c r="B32" s="826">
        <v>15</v>
      </c>
      <c r="C32" s="772" t="s">
        <v>2168</v>
      </c>
      <c r="D32" s="894"/>
      <c r="E32" s="772"/>
      <c r="F32" s="772"/>
      <c r="G32" s="818"/>
      <c r="H32" s="885"/>
      <c r="I32" s="930" t="str">
        <f t="shared" si="1"/>
        <v>2.4.2</v>
      </c>
      <c r="J32" s="930"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0">
        <f t="shared" si="3"/>
        <v>0</v>
      </c>
      <c r="L32" s="773" t="str">
        <f t="shared" si="4"/>
        <v>2.4.2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4" t="s">
        <v>2169</v>
      </c>
      <c r="P32" s="884" t="s">
        <v>825</v>
      </c>
      <c r="Q32" s="884" t="s">
        <v>2169</v>
      </c>
      <c r="R32" s="884" t="s">
        <v>825</v>
      </c>
      <c r="S32" s="884"/>
      <c r="T32" s="89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5" t="s">
        <v>2170</v>
      </c>
      <c r="V32" s="775" t="s">
        <v>2170</v>
      </c>
      <c r="W32" s="775" t="s">
        <v>2170</v>
      </c>
      <c r="X32" s="772"/>
      <c r="Y32" s="926"/>
      <c r="Z32" s="775"/>
      <c r="AA32" s="778"/>
      <c r="AB32" s="778"/>
      <c r="AC32" s="778"/>
      <c r="AD32" s="775"/>
    </row>
    <row r="33" spans="1:30" ht="45" customHeight="1">
      <c r="A33" s="774"/>
      <c r="B33" s="826">
        <v>16</v>
      </c>
      <c r="C33" s="772">
        <v>10</v>
      </c>
      <c r="D33" s="894"/>
      <c r="E33" s="772"/>
      <c r="F33" s="772"/>
      <c r="G33" s="818"/>
      <c r="H33" s="885"/>
      <c r="I33" s="930" t="str">
        <f t="shared" si="1"/>
        <v>2.5</v>
      </c>
      <c r="J33" s="930"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0" t="str">
        <f t="shared" si="3"/>
        <v>Указывается общая сумма расходов на оплату труда и отчислений на социальные нужды административно-управленческого персонала.</v>
      </c>
      <c r="L33" s="773" t="str">
        <f t="shared" si="4"/>
        <v>2.5</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3" t="str">
        <f t="shared" si="6"/>
        <v>Указывается общая сумма расходов на оплату труда и отчислений на социальные нужды административно-управленческого персонала.</v>
      </c>
      <c r="O33" s="884" t="s">
        <v>831</v>
      </c>
      <c r="P33" s="884" t="s">
        <v>827</v>
      </c>
      <c r="Q33" s="884" t="s">
        <v>831</v>
      </c>
      <c r="R33" s="884" t="s">
        <v>827</v>
      </c>
      <c r="S33" s="884"/>
      <c r="T33" s="89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5" t="s">
        <v>2171</v>
      </c>
      <c r="V33" s="775" t="s">
        <v>2171</v>
      </c>
      <c r="W33" s="775" t="s">
        <v>2172</v>
      </c>
      <c r="X33" s="772"/>
      <c r="Y33" s="926"/>
      <c r="Z33" s="775"/>
      <c r="AA33" s="778" t="s">
        <v>2173</v>
      </c>
      <c r="AB33" s="778" t="s">
        <v>2173</v>
      </c>
      <c r="AC33" s="778" t="s">
        <v>2173</v>
      </c>
      <c r="AD33" s="775"/>
    </row>
    <row r="34" spans="1:30" ht="27" customHeight="1">
      <c r="A34" s="774"/>
      <c r="B34" s="826">
        <v>17</v>
      </c>
      <c r="C34" s="772" t="s">
        <v>2174</v>
      </c>
      <c r="D34" s="894"/>
      <c r="E34" s="772"/>
      <c r="F34" s="772"/>
      <c r="G34" s="818"/>
      <c r="H34" s="885"/>
      <c r="I34" s="930" t="str">
        <f t="shared" si="1"/>
        <v>2.5.1</v>
      </c>
      <c r="J34" s="930" t="str">
        <f t="shared" si="2"/>
        <v>Расходы на оплату труда административно-управленческого персонала, в том числе:</v>
      </c>
      <c r="K34" s="930">
        <f t="shared" si="3"/>
        <v>0</v>
      </c>
      <c r="L34" s="773" t="str">
        <f t="shared" si="4"/>
        <v>2.5.1</v>
      </c>
      <c r="M34" s="773" t="str">
        <f t="shared" si="5"/>
        <v>Расходы на оплату труда административно-управленческого персонала, в том числе:</v>
      </c>
      <c r="N34" s="773" t="str">
        <f t="shared" si="6"/>
        <v/>
      </c>
      <c r="O34" s="884" t="s">
        <v>2175</v>
      </c>
      <c r="P34" s="884" t="s">
        <v>2157</v>
      </c>
      <c r="Q34" s="884" t="s">
        <v>2175</v>
      </c>
      <c r="R34" s="884" t="s">
        <v>2157</v>
      </c>
      <c r="S34" s="884"/>
      <c r="T34" s="893" t="s">
        <v>2176</v>
      </c>
      <c r="U34" s="775" t="s">
        <v>2176</v>
      </c>
      <c r="V34" s="775" t="s">
        <v>2176</v>
      </c>
      <c r="W34" s="775" t="s">
        <v>2177</v>
      </c>
      <c r="X34" s="772"/>
      <c r="Y34" s="926"/>
      <c r="Z34" s="775"/>
      <c r="AA34" s="778"/>
      <c r="AB34" s="775"/>
      <c r="AC34" s="775"/>
      <c r="AD34" s="775"/>
    </row>
    <row r="35" spans="1:30" ht="45" customHeight="1">
      <c r="A35" s="774"/>
      <c r="B35" s="826">
        <v>18</v>
      </c>
      <c r="C35" s="772" t="s">
        <v>2178</v>
      </c>
      <c r="D35" s="894"/>
      <c r="E35" s="772"/>
      <c r="F35" s="772"/>
      <c r="G35" s="818"/>
      <c r="H35" s="885"/>
      <c r="I35" s="930" t="str">
        <f t="shared" si="1"/>
        <v>2.5.2</v>
      </c>
      <c r="J35" s="930"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0">
        <f t="shared" si="3"/>
        <v>0</v>
      </c>
      <c r="L35" s="773" t="str">
        <f t="shared" si="4"/>
        <v>2.5.2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4" t="s">
        <v>2179</v>
      </c>
      <c r="P35" s="884" t="s">
        <v>2159</v>
      </c>
      <c r="Q35" s="884" t="s">
        <v>2179</v>
      </c>
      <c r="R35" s="884" t="s">
        <v>2159</v>
      </c>
      <c r="S35" s="884"/>
      <c r="T35" s="89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5" t="s">
        <v>2180</v>
      </c>
      <c r="V35" s="775" t="s">
        <v>2180</v>
      </c>
      <c r="W35" s="775" t="s">
        <v>2180</v>
      </c>
      <c r="X35" s="772"/>
      <c r="Y35" s="926"/>
      <c r="Z35" s="775"/>
      <c r="AA35" s="778"/>
      <c r="AB35" s="775"/>
      <c r="AC35" s="775"/>
      <c r="AD35" s="775"/>
    </row>
    <row r="36" spans="1:30" ht="18" customHeight="1">
      <c r="A36" s="774"/>
      <c r="B36" s="826">
        <v>19</v>
      </c>
      <c r="C36" s="772">
        <v>11</v>
      </c>
      <c r="D36" s="894"/>
      <c r="E36" s="772"/>
      <c r="F36" s="772"/>
      <c r="G36" s="818"/>
      <c r="H36" s="885"/>
      <c r="I36" s="930" t="str">
        <f t="shared" si="1"/>
        <v>2.6</v>
      </c>
      <c r="J36" s="930" t="str">
        <f t="shared" si="2"/>
        <v>Расходы на амортизацию основных средств и нематериальных активов</v>
      </c>
      <c r="K36" s="930">
        <f t="shared" si="3"/>
        <v>0</v>
      </c>
      <c r="L36" s="773" t="str">
        <f t="shared" si="4"/>
        <v>2.6</v>
      </c>
      <c r="M36" s="773" t="str">
        <f t="shared" si="5"/>
        <v>Расходы на амортизацию основных средств и нематериальных активов</v>
      </c>
      <c r="N36" s="773" t="str">
        <f t="shared" si="6"/>
        <v/>
      </c>
      <c r="O36" s="884" t="s">
        <v>833</v>
      </c>
      <c r="P36" s="884" t="s">
        <v>829</v>
      </c>
      <c r="Q36" s="884" t="s">
        <v>833</v>
      </c>
      <c r="R36" s="884" t="s">
        <v>829</v>
      </c>
      <c r="S36" s="884"/>
      <c r="T36" s="891" t="s">
        <v>2181</v>
      </c>
      <c r="U36" s="775" t="s">
        <v>2181</v>
      </c>
      <c r="V36" s="775" t="s">
        <v>2181</v>
      </c>
      <c r="W36" s="775" t="s">
        <v>2181</v>
      </c>
      <c r="X36" s="772"/>
      <c r="Y36" s="926"/>
      <c r="Z36" s="775"/>
      <c r="AA36" s="778"/>
      <c r="AB36" s="775"/>
      <c r="AC36" s="775"/>
      <c r="AD36" s="775"/>
    </row>
    <row r="37" spans="1:30" ht="18" customHeight="1">
      <c r="A37" s="774"/>
      <c r="B37" s="826">
        <v>20</v>
      </c>
      <c r="C37" s="772" t="s">
        <v>2182</v>
      </c>
      <c r="D37" s="894"/>
      <c r="E37" s="772"/>
      <c r="F37" s="772"/>
      <c r="G37" s="818"/>
      <c r="H37" s="885"/>
      <c r="I37" s="930" t="str">
        <f t="shared" si="1"/>
        <v>2.6.1</v>
      </c>
      <c r="J37" s="930" t="str">
        <f t="shared" si="2"/>
        <v>Расходы на амортизацию основных средств</v>
      </c>
      <c r="K37" s="930">
        <f t="shared" si="3"/>
        <v>0</v>
      </c>
      <c r="L37" s="773" t="str">
        <f t="shared" si="4"/>
        <v>2.6.1</v>
      </c>
      <c r="M37" s="773" t="str">
        <f t="shared" si="5"/>
        <v>Расходы на амортизацию основных средств</v>
      </c>
      <c r="N37" s="773" t="str">
        <f t="shared" si="6"/>
        <v/>
      </c>
      <c r="O37" s="884" t="s">
        <v>2183</v>
      </c>
      <c r="P37" s="884" t="s">
        <v>2166</v>
      </c>
      <c r="Q37" s="884" t="s">
        <v>2183</v>
      </c>
      <c r="R37" s="884" t="s">
        <v>2166</v>
      </c>
      <c r="S37" s="884"/>
      <c r="T37" s="891" t="s">
        <v>2184</v>
      </c>
      <c r="U37" s="775" t="s">
        <v>2184</v>
      </c>
      <c r="V37" s="775" t="s">
        <v>2184</v>
      </c>
      <c r="W37" s="775" t="s">
        <v>2184</v>
      </c>
      <c r="X37" s="772"/>
      <c r="Y37" s="926"/>
      <c r="Z37" s="775"/>
      <c r="AA37" s="778"/>
      <c r="AB37" s="775"/>
      <c r="AC37" s="775"/>
      <c r="AD37" s="775"/>
    </row>
    <row r="38" spans="1:30" ht="18" customHeight="1">
      <c r="A38" s="774"/>
      <c r="B38" s="826">
        <v>21</v>
      </c>
      <c r="C38" s="772" t="s">
        <v>2185</v>
      </c>
      <c r="D38" s="894"/>
      <c r="E38" s="772"/>
      <c r="F38" s="772"/>
      <c r="G38" s="818"/>
      <c r="H38" s="885"/>
      <c r="I38" s="930" t="str">
        <f t="shared" si="1"/>
        <v>2.6.2</v>
      </c>
      <c r="J38" s="930" t="str">
        <f t="shared" si="2"/>
        <v>Расходы на амортизацию нематериальных активов</v>
      </c>
      <c r="K38" s="930">
        <f t="shared" si="3"/>
        <v>0</v>
      </c>
      <c r="L38" s="773" t="str">
        <f t="shared" si="4"/>
        <v>2.6.2</v>
      </c>
      <c r="M38" s="773" t="str">
        <f t="shared" si="5"/>
        <v>Расходы на амортизацию нематериальных активов</v>
      </c>
      <c r="N38" s="773" t="str">
        <f t="shared" si="6"/>
        <v/>
      </c>
      <c r="O38" s="884" t="s">
        <v>2186</v>
      </c>
      <c r="P38" s="884" t="s">
        <v>2169</v>
      </c>
      <c r="Q38" s="884" t="s">
        <v>2186</v>
      </c>
      <c r="R38" s="884" t="s">
        <v>2169</v>
      </c>
      <c r="S38" s="884"/>
      <c r="T38" s="891" t="s">
        <v>2187</v>
      </c>
      <c r="U38" s="775" t="s">
        <v>2187</v>
      </c>
      <c r="V38" s="775" t="s">
        <v>2187</v>
      </c>
      <c r="W38" s="775" t="s">
        <v>2187</v>
      </c>
      <c r="X38" s="772"/>
      <c r="Y38" s="926"/>
      <c r="Z38" s="775"/>
      <c r="AA38" s="778"/>
      <c r="AB38" s="775"/>
      <c r="AC38" s="775"/>
      <c r="AD38" s="775"/>
    </row>
    <row r="39" spans="1:30" ht="36" customHeight="1">
      <c r="A39" s="774"/>
      <c r="B39" s="826">
        <v>22</v>
      </c>
      <c r="C39" s="772">
        <v>12</v>
      </c>
      <c r="D39" s="894"/>
      <c r="E39" s="772"/>
      <c r="F39" s="772"/>
      <c r="G39" s="818"/>
      <c r="H39" s="885"/>
      <c r="I39" s="930" t="str">
        <f t="shared" si="1"/>
        <v>2.7</v>
      </c>
      <c r="J39" s="930" t="str">
        <f t="shared" si="2"/>
        <v>Расходы на аренду имущества, используемого для осуществления регулируемых видов деятельности в сфере водоотведения</v>
      </c>
      <c r="K39" s="930">
        <f t="shared" si="3"/>
        <v>0</v>
      </c>
      <c r="L39" s="773" t="str">
        <f t="shared" si="4"/>
        <v>2.7</v>
      </c>
      <c r="M39" s="773" t="str">
        <f t="shared" si="5"/>
        <v>Расходы на аренду имущества, используемого для осуществления регулируемых видов деятельности в сфере водоотведения</v>
      </c>
      <c r="N39" s="773" t="str">
        <f t="shared" si="6"/>
        <v/>
      </c>
      <c r="O39" s="884" t="s">
        <v>837</v>
      </c>
      <c r="P39" s="884" t="s">
        <v>831</v>
      </c>
      <c r="Q39" s="884" t="s">
        <v>837</v>
      </c>
      <c r="R39" s="884" t="s">
        <v>831</v>
      </c>
      <c r="S39" s="884"/>
      <c r="T39" s="891" t="s">
        <v>2188</v>
      </c>
      <c r="U39" s="775" t="s">
        <v>2189</v>
      </c>
      <c r="V39" s="775" t="s">
        <v>2190</v>
      </c>
      <c r="W39" s="775" t="s">
        <v>2191</v>
      </c>
      <c r="X39" s="772"/>
      <c r="Y39" s="926"/>
      <c r="Z39" s="775"/>
      <c r="AA39" s="778"/>
      <c r="AB39" s="775"/>
      <c r="AC39" s="775"/>
      <c r="AD39" s="775"/>
    </row>
    <row r="40" spans="1:30" ht="18" customHeight="1">
      <c r="A40" s="774"/>
      <c r="B40" s="826">
        <v>23</v>
      </c>
      <c r="C40" s="772">
        <v>13</v>
      </c>
      <c r="D40" s="894"/>
      <c r="E40" s="772"/>
      <c r="F40" s="772"/>
      <c r="G40" s="772"/>
      <c r="H40" s="821"/>
      <c r="I40" s="930" t="str">
        <f t="shared" si="1"/>
        <v>2.8</v>
      </c>
      <c r="J40" s="930" t="str">
        <f t="shared" si="2"/>
        <v>Общепроизводственные расходы, в том числе:</v>
      </c>
      <c r="K40" s="930" t="str">
        <f t="shared" si="3"/>
        <v>Указывается общая сумма общепроизводственных расходов.</v>
      </c>
      <c r="L40" s="773" t="str">
        <f t="shared" si="4"/>
        <v>2.8</v>
      </c>
      <c r="M40" s="773" t="str">
        <f t="shared" si="5"/>
        <v>Общепроизводственные расходы, в том числе:</v>
      </c>
      <c r="N40" s="773" t="str">
        <f t="shared" si="6"/>
        <v>Указывается общая сумма общепроизводственных расходов.</v>
      </c>
      <c r="O40" s="884" t="s">
        <v>2192</v>
      </c>
      <c r="P40" s="884" t="s">
        <v>833</v>
      </c>
      <c r="Q40" s="884" t="s">
        <v>2192</v>
      </c>
      <c r="R40" s="884" t="s">
        <v>833</v>
      </c>
      <c r="S40" s="884"/>
      <c r="T40" s="772" t="s">
        <v>2193</v>
      </c>
      <c r="U40" s="772" t="s">
        <v>2193</v>
      </c>
      <c r="V40" s="772" t="s">
        <v>2193</v>
      </c>
      <c r="W40" s="772" t="s">
        <v>2193</v>
      </c>
      <c r="X40" s="772"/>
      <c r="Y40" s="926"/>
      <c r="Z40" s="775" t="s">
        <v>2194</v>
      </c>
      <c r="AA40" s="778" t="s">
        <v>2194</v>
      </c>
      <c r="AB40" s="778" t="s">
        <v>2194</v>
      </c>
      <c r="AC40" s="778" t="s">
        <v>2194</v>
      </c>
      <c r="AD40" s="775"/>
    </row>
    <row r="41" spans="1:30" ht="27" customHeight="1">
      <c r="A41" s="774"/>
      <c r="B41" s="826">
        <v>24</v>
      </c>
      <c r="C41" s="772" t="s">
        <v>2195</v>
      </c>
      <c r="D41" s="894"/>
      <c r="E41" s="772"/>
      <c r="F41" s="772"/>
      <c r="G41" s="772"/>
      <c r="H41" s="818"/>
      <c r="I41" s="930" t="str">
        <f t="shared" si="1"/>
        <v>2.8.1</v>
      </c>
      <c r="J41" s="930" t="str">
        <f t="shared" si="2"/>
        <v>Расходы на текущий ремонт</v>
      </c>
      <c r="K41" s="930" t="str">
        <f t="shared" si="3"/>
        <v>Указываются расходы на текущий ремонт, отнесенные к общепроизводственным расходам.</v>
      </c>
      <c r="L41" s="773" t="str">
        <f t="shared" si="4"/>
        <v>2.8.1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4" t="s">
        <v>2196</v>
      </c>
      <c r="P41" s="884" t="s">
        <v>2183</v>
      </c>
      <c r="Q41" s="884" t="s">
        <v>2196</v>
      </c>
      <c r="R41" s="884" t="s">
        <v>2183</v>
      </c>
      <c r="S41" s="884"/>
      <c r="T41" s="772" t="s">
        <v>2197</v>
      </c>
      <c r="U41" s="772" t="s">
        <v>2197</v>
      </c>
      <c r="V41" s="772" t="s">
        <v>2197</v>
      </c>
      <c r="W41" s="772" t="s">
        <v>2197</v>
      </c>
      <c r="X41" s="772"/>
      <c r="Y41" s="926"/>
      <c r="Z41" s="775" t="s">
        <v>2198</v>
      </c>
      <c r="AA41" s="775" t="s">
        <v>2198</v>
      </c>
      <c r="AB41" s="775" t="s">
        <v>2198</v>
      </c>
      <c r="AC41" s="775" t="s">
        <v>2198</v>
      </c>
      <c r="AD41" s="775"/>
    </row>
    <row r="42" spans="1:30" ht="27" customHeight="1">
      <c r="A42" s="774"/>
      <c r="B42" s="826">
        <v>25</v>
      </c>
      <c r="C42" s="772" t="s">
        <v>2199</v>
      </c>
      <c r="D42" s="894"/>
      <c r="E42" s="772"/>
      <c r="F42" s="772"/>
      <c r="G42" s="772"/>
      <c r="H42" s="818"/>
      <c r="I42" s="930" t="str">
        <f t="shared" si="1"/>
        <v>2.8.2</v>
      </c>
      <c r="J42" s="930" t="str">
        <f t="shared" si="2"/>
        <v>Расходы на капитальный ремонт</v>
      </c>
      <c r="K42" s="930" t="str">
        <f t="shared" si="3"/>
        <v>Указываются расходы на капитальный ремонт, отнесенные к общепроизводственным расходам.</v>
      </c>
      <c r="L42" s="773" t="str">
        <f t="shared" si="4"/>
        <v>2.8.2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4" t="s">
        <v>2200</v>
      </c>
      <c r="P42" s="884" t="s">
        <v>2186</v>
      </c>
      <c r="Q42" s="884" t="s">
        <v>2200</v>
      </c>
      <c r="R42" s="884" t="s">
        <v>2186</v>
      </c>
      <c r="S42" s="884"/>
      <c r="T42" s="772" t="s">
        <v>2201</v>
      </c>
      <c r="U42" s="772" t="s">
        <v>2201</v>
      </c>
      <c r="V42" s="772" t="s">
        <v>2201</v>
      </c>
      <c r="W42" s="772" t="s">
        <v>2201</v>
      </c>
      <c r="X42" s="772"/>
      <c r="Y42" s="926"/>
      <c r="Z42" s="775" t="s">
        <v>2202</v>
      </c>
      <c r="AA42" s="775" t="s">
        <v>2202</v>
      </c>
      <c r="AB42" s="775" t="s">
        <v>2202</v>
      </c>
      <c r="AC42" s="775" t="s">
        <v>2202</v>
      </c>
      <c r="AD42" s="775"/>
    </row>
    <row r="43" spans="1:30" ht="18" customHeight="1">
      <c r="A43" s="774"/>
      <c r="B43" s="826">
        <v>26</v>
      </c>
      <c r="C43" s="772">
        <v>14</v>
      </c>
      <c r="D43" s="894"/>
      <c r="E43" s="772"/>
      <c r="F43" s="772"/>
      <c r="G43" s="772"/>
      <c r="H43" s="818"/>
      <c r="I43" s="930" t="str">
        <f t="shared" si="1"/>
        <v>2.9</v>
      </c>
      <c r="J43" s="930" t="str">
        <f t="shared" si="2"/>
        <v>Общехозяйственные расходы, в том числе:</v>
      </c>
      <c r="K43" s="930" t="str">
        <f t="shared" si="3"/>
        <v>Указывается общая сумма общехозяйственных расходов.</v>
      </c>
      <c r="L43" s="773" t="str">
        <f t="shared" si="4"/>
        <v>2.9</v>
      </c>
      <c r="M43" s="773" t="str">
        <f t="shared" si="5"/>
        <v>Общехозяйственные расходы, в том числе:</v>
      </c>
      <c r="N43" s="773" t="str">
        <f t="shared" si="6"/>
        <v>Указывается общая сумма общехозяйственных расходов.</v>
      </c>
      <c r="O43" s="884" t="s">
        <v>2203</v>
      </c>
      <c r="P43" s="884" t="s">
        <v>837</v>
      </c>
      <c r="Q43" s="884" t="s">
        <v>2203</v>
      </c>
      <c r="R43" s="884" t="s">
        <v>837</v>
      </c>
      <c r="S43" s="884"/>
      <c r="T43" s="772" t="s">
        <v>2204</v>
      </c>
      <c r="U43" s="772" t="s">
        <v>2204</v>
      </c>
      <c r="V43" s="772" t="s">
        <v>2204</v>
      </c>
      <c r="W43" s="772" t="s">
        <v>2204</v>
      </c>
      <c r="X43" s="772"/>
      <c r="Y43" s="926"/>
      <c r="Z43" s="775" t="s">
        <v>2205</v>
      </c>
      <c r="AA43" s="775" t="s">
        <v>2205</v>
      </c>
      <c r="AB43" s="775" t="s">
        <v>2205</v>
      </c>
      <c r="AC43" s="775" t="s">
        <v>2205</v>
      </c>
      <c r="AD43" s="775"/>
    </row>
    <row r="44" spans="1:30" ht="27" customHeight="1">
      <c r="A44" s="774"/>
      <c r="B44" s="826">
        <v>27</v>
      </c>
      <c r="C44" s="772" t="s">
        <v>2206</v>
      </c>
      <c r="D44" s="894"/>
      <c r="E44" s="772"/>
      <c r="F44" s="772"/>
      <c r="G44" s="772"/>
      <c r="H44" s="818"/>
      <c r="I44" s="930" t="str">
        <f t="shared" si="1"/>
        <v>2.9.1</v>
      </c>
      <c r="J44" s="930" t="str">
        <f t="shared" si="2"/>
        <v>Расходы на текущий ремонт</v>
      </c>
      <c r="K44" s="930" t="str">
        <f t="shared" si="3"/>
        <v>Указываются расходы на текущий ремонт, отнесенные к общехозяйственным расходам.</v>
      </c>
      <c r="L44" s="773" t="str">
        <f t="shared" si="4"/>
        <v>2.9.1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4" t="s">
        <v>2207</v>
      </c>
      <c r="P44" s="884" t="s">
        <v>2208</v>
      </c>
      <c r="Q44" s="884" t="s">
        <v>2207</v>
      </c>
      <c r="R44" s="884" t="s">
        <v>2208</v>
      </c>
      <c r="S44" s="884"/>
      <c r="T44" s="772" t="s">
        <v>2197</v>
      </c>
      <c r="U44" s="772" t="s">
        <v>2197</v>
      </c>
      <c r="V44" s="772" t="s">
        <v>2197</v>
      </c>
      <c r="W44" s="772" t="s">
        <v>2197</v>
      </c>
      <c r="X44" s="772"/>
      <c r="Y44" s="926"/>
      <c r="Z44" s="775" t="s">
        <v>2209</v>
      </c>
      <c r="AA44" s="775" t="s">
        <v>2209</v>
      </c>
      <c r="AB44" s="775" t="s">
        <v>2209</v>
      </c>
      <c r="AC44" s="775" t="s">
        <v>2209</v>
      </c>
      <c r="AD44" s="775"/>
    </row>
    <row r="45" spans="1:30" ht="27" customHeight="1">
      <c r="A45" s="774"/>
      <c r="B45" s="826">
        <v>28</v>
      </c>
      <c r="C45" s="772" t="s">
        <v>2210</v>
      </c>
      <c r="D45" s="894"/>
      <c r="E45" s="772"/>
      <c r="F45" s="772"/>
      <c r="G45" s="772"/>
      <c r="H45" s="818"/>
      <c r="I45" s="930" t="str">
        <f t="shared" si="1"/>
        <v>2.9.2</v>
      </c>
      <c r="J45" s="930" t="str">
        <f t="shared" si="2"/>
        <v>Расходы на капитальный ремонт</v>
      </c>
      <c r="K45" s="930" t="str">
        <f t="shared" si="3"/>
        <v>Указываются расходы на капитальный ремонт, отнесенные к общехозяйственным расходам.</v>
      </c>
      <c r="L45" s="773" t="str">
        <f t="shared" si="4"/>
        <v>2.9.2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4" t="s">
        <v>2211</v>
      </c>
      <c r="P45" s="884" t="s">
        <v>2212</v>
      </c>
      <c r="Q45" s="884" t="s">
        <v>2211</v>
      </c>
      <c r="R45" s="884" t="s">
        <v>2212</v>
      </c>
      <c r="S45" s="884"/>
      <c r="T45" s="772" t="s">
        <v>2201</v>
      </c>
      <c r="U45" s="772" t="s">
        <v>2201</v>
      </c>
      <c r="V45" s="772" t="s">
        <v>2201</v>
      </c>
      <c r="W45" s="772" t="s">
        <v>2201</v>
      </c>
      <c r="X45" s="772"/>
      <c r="Y45" s="926"/>
      <c r="Z45" s="775" t="s">
        <v>2213</v>
      </c>
      <c r="AA45" s="775" t="s">
        <v>2213</v>
      </c>
      <c r="AB45" s="775" t="s">
        <v>2213</v>
      </c>
      <c r="AC45" s="775" t="s">
        <v>2213</v>
      </c>
      <c r="AD45" s="775"/>
    </row>
    <row r="46" spans="1:30" ht="54" customHeight="1">
      <c r="A46" s="774"/>
      <c r="B46" s="826">
        <v>29</v>
      </c>
      <c r="C46" s="772">
        <v>15</v>
      </c>
      <c r="D46" s="894"/>
      <c r="E46" s="772"/>
      <c r="F46" s="772"/>
      <c r="G46" s="772"/>
      <c r="H46" s="818"/>
      <c r="I46" s="930" t="str">
        <f t="shared" si="1"/>
        <v>2.10</v>
      </c>
      <c r="J46" s="930" t="str">
        <f t="shared" si="2"/>
        <v>Расходы на капитальный и текущий ремонт основных средств</v>
      </c>
      <c r="K46" s="930"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2.10</v>
      </c>
      <c r="M46" s="773" t="str">
        <f t="shared" si="5"/>
        <v>Расходы на капитальный и текущий ремонт основных средств</v>
      </c>
      <c r="N46" s="77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4" t="s">
        <v>2214</v>
      </c>
      <c r="P46" s="884" t="s">
        <v>2192</v>
      </c>
      <c r="Q46" s="884" t="s">
        <v>2214</v>
      </c>
      <c r="R46" s="884" t="s">
        <v>2192</v>
      </c>
      <c r="S46" s="884"/>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2" t="s">
        <v>2215</v>
      </c>
      <c r="V46" s="772" t="s">
        <v>2215</v>
      </c>
      <c r="W46" s="772" t="s">
        <v>2215</v>
      </c>
      <c r="X46" s="772"/>
      <c r="Y46" s="926"/>
      <c r="Z46" s="775" t="s">
        <v>2216</v>
      </c>
      <c r="AA46" s="775" t="s">
        <v>2217</v>
      </c>
      <c r="AB46" s="775" t="s">
        <v>2217</v>
      </c>
      <c r="AC46" s="775" t="s">
        <v>2217</v>
      </c>
      <c r="AD46" s="775"/>
    </row>
    <row r="47" spans="1:30" ht="54" customHeight="1">
      <c r="A47" s="774"/>
      <c r="B47" s="826">
        <v>30</v>
      </c>
      <c r="C47" s="772" t="s">
        <v>2218</v>
      </c>
      <c r="D47" s="894"/>
      <c r="E47" s="772"/>
      <c r="F47" s="772"/>
      <c r="G47" s="772"/>
      <c r="H47" s="818"/>
      <c r="I47" s="930" t="str">
        <f t="shared" si="1"/>
        <v>2.10.1</v>
      </c>
      <c r="J47" s="930"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0">
        <f t="shared" si="3"/>
        <v>0</v>
      </c>
      <c r="L47" s="773" t="str">
        <f t="shared" si="4"/>
        <v>2.10.1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4" t="s">
        <v>2219</v>
      </c>
      <c r="P47" s="884" t="s">
        <v>2196</v>
      </c>
      <c r="Q47" s="884" t="s">
        <v>2219</v>
      </c>
      <c r="R47" s="884" t="s">
        <v>2196</v>
      </c>
      <c r="S47" s="884"/>
      <c r="T47" s="772" t="s">
        <v>2220</v>
      </c>
      <c r="U47" s="772" t="s">
        <v>2220</v>
      </c>
      <c r="V47" s="772" t="s">
        <v>2220</v>
      </c>
      <c r="W47" s="772" t="s">
        <v>2220</v>
      </c>
      <c r="X47" s="772"/>
      <c r="Y47" s="926"/>
      <c r="Z47" s="775"/>
      <c r="AA47" s="778"/>
      <c r="AB47" s="778"/>
      <c r="AC47" s="778"/>
      <c r="AD47" s="775"/>
    </row>
    <row r="48" spans="1:30" ht="54" customHeight="1">
      <c r="A48" s="774"/>
      <c r="B48" s="826">
        <v>31</v>
      </c>
      <c r="C48" s="772">
        <v>16</v>
      </c>
      <c r="D48" s="894"/>
      <c r="E48" s="772"/>
      <c r="F48" s="772"/>
      <c r="G48" s="772"/>
      <c r="H48" s="818"/>
      <c r="I48" s="930" t="str">
        <f t="shared" si="1"/>
        <v>2.11</v>
      </c>
      <c r="J48" s="930"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0"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3" t="str">
        <f t="shared" si="4"/>
        <v>2.11</v>
      </c>
      <c r="M48" s="773"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4"/>
      <c r="P48" s="884" t="s">
        <v>2203</v>
      </c>
      <c r="Q48" s="884" t="s">
        <v>2221</v>
      </c>
      <c r="R48" s="884" t="s">
        <v>2203</v>
      </c>
      <c r="S48" s="884"/>
      <c r="T48" s="772"/>
      <c r="U48" s="772" t="s">
        <v>2222</v>
      </c>
      <c r="V48" s="772" t="s">
        <v>2223</v>
      </c>
      <c r="W48" s="772" t="s">
        <v>2223</v>
      </c>
      <c r="X48" s="772"/>
      <c r="Y48" s="926"/>
      <c r="Z48" s="775"/>
      <c r="AA48" s="778" t="s">
        <v>2217</v>
      </c>
      <c r="AB48" s="778" t="s">
        <v>2217</v>
      </c>
      <c r="AC48" s="778" t="s">
        <v>2217</v>
      </c>
      <c r="AD48" s="775"/>
    </row>
    <row r="49" spans="1:30" ht="54" customHeight="1">
      <c r="A49" s="774"/>
      <c r="B49" s="826">
        <v>32</v>
      </c>
      <c r="C49" s="772" t="s">
        <v>2224</v>
      </c>
      <c r="D49" s="894"/>
      <c r="E49" s="772"/>
      <c r="F49" s="772"/>
      <c r="G49" s="772"/>
      <c r="H49" s="818"/>
      <c r="I49" s="930" t="str">
        <f t="shared" si="1"/>
        <v>2.11.1</v>
      </c>
      <c r="J49" s="930"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0">
        <f t="shared" si="3"/>
        <v>0</v>
      </c>
      <c r="L49" s="773" t="str">
        <f t="shared" si="4"/>
        <v>2.11.1</v>
      </c>
      <c r="M49"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3" t="str">
        <f t="shared" si="6"/>
        <v/>
      </c>
      <c r="O49" s="884"/>
      <c r="P49" s="884" t="s">
        <v>2207</v>
      </c>
      <c r="Q49" s="884" t="s">
        <v>2225</v>
      </c>
      <c r="R49" s="884" t="s">
        <v>2207</v>
      </c>
      <c r="S49" s="884"/>
      <c r="T49" s="772"/>
      <c r="U49" s="772" t="s">
        <v>2220</v>
      </c>
      <c r="V49" s="772" t="s">
        <v>2220</v>
      </c>
      <c r="W49" s="772" t="s">
        <v>2220</v>
      </c>
      <c r="X49" s="772"/>
      <c r="Y49" s="926"/>
      <c r="Z49" s="775"/>
      <c r="AA49" s="778"/>
      <c r="AB49" s="778"/>
      <c r="AC49" s="778"/>
      <c r="AD49" s="775"/>
    </row>
    <row r="50" spans="1:30" ht="126" customHeight="1">
      <c r="A50" s="774"/>
      <c r="B50" s="826">
        <v>33</v>
      </c>
      <c r="C50" s="772">
        <v>17</v>
      </c>
      <c r="D50" s="894"/>
      <c r="E50" s="772"/>
      <c r="F50" s="772"/>
      <c r="G50" s="772"/>
      <c r="H50" s="818"/>
      <c r="I50" s="930" t="str">
        <f t="shared" ref="I50:I81" si="7">INDEX(TEMPLATE_NUMBER_POINT_FHD,B50,MATCH(TEMPLATE_SPHERE,TEMPLATE_SPHERE_LIST_FOR_NOTE,0))</f>
        <v>2.12</v>
      </c>
      <c r="J50" s="930"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0"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3" t="str">
        <f t="shared" ref="L50:L81" si="10">IF(I50=0,"",I50)</f>
        <v>2.12</v>
      </c>
      <c r="M50" s="773"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3"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4" t="s">
        <v>2221</v>
      </c>
      <c r="P50" s="884" t="s">
        <v>2214</v>
      </c>
      <c r="Q50" s="884" t="s">
        <v>2226</v>
      </c>
      <c r="R50" s="884" t="s">
        <v>2214</v>
      </c>
      <c r="S50" s="884"/>
      <c r="T50" s="772" t="s">
        <v>2227</v>
      </c>
      <c r="U50" s="772" t="s">
        <v>2228</v>
      </c>
      <c r="V50" s="772" t="s">
        <v>2229</v>
      </c>
      <c r="W50" s="772" t="s">
        <v>2230</v>
      </c>
      <c r="X50" s="772"/>
      <c r="Y50" s="926"/>
      <c r="Z50" s="775" t="s">
        <v>2231</v>
      </c>
      <c r="AA50" s="778" t="s">
        <v>2232</v>
      </c>
      <c r="AB50" s="778" t="s">
        <v>2232</v>
      </c>
      <c r="AC50" s="778" t="s">
        <v>2232</v>
      </c>
      <c r="AD50" s="775"/>
    </row>
    <row r="51" spans="1:30" ht="27" customHeight="1">
      <c r="A51" s="774"/>
      <c r="B51" s="826">
        <v>34</v>
      </c>
      <c r="C51" s="772" t="s">
        <v>2233</v>
      </c>
      <c r="D51" s="894"/>
      <c r="E51" s="772"/>
      <c r="F51" s="772"/>
      <c r="G51" s="772"/>
      <c r="H51" s="818"/>
      <c r="I51" s="930">
        <f t="shared" si="7"/>
        <v>0</v>
      </c>
      <c r="J51" s="930">
        <f t="shared" si="8"/>
        <v>0</v>
      </c>
      <c r="K51" s="930">
        <f t="shared" si="9"/>
        <v>0</v>
      </c>
      <c r="L51" s="773" t="str">
        <f t="shared" si="10"/>
        <v/>
      </c>
      <c r="M51" s="773" t="str">
        <f t="shared" si="11"/>
        <v/>
      </c>
      <c r="N51" s="773" t="str">
        <f t="shared" si="12"/>
        <v/>
      </c>
      <c r="O51" s="884" t="s">
        <v>90</v>
      </c>
      <c r="P51" s="884"/>
      <c r="Q51" s="884"/>
      <c r="R51" s="884"/>
      <c r="S51" s="884"/>
      <c r="T51" s="772" t="s">
        <v>2234</v>
      </c>
      <c r="U51" s="772"/>
      <c r="V51" s="772"/>
      <c r="W51" s="772"/>
      <c r="X51" s="772"/>
      <c r="Y51" s="926"/>
      <c r="Z51" s="775"/>
      <c r="AA51" s="778"/>
      <c r="AB51" s="778"/>
      <c r="AC51" s="778"/>
      <c r="AD51" s="775"/>
    </row>
    <row r="52" spans="1:30" ht="36" customHeight="1">
      <c r="A52" s="774"/>
      <c r="B52" s="826">
        <v>35</v>
      </c>
      <c r="C52" s="772" t="s">
        <v>2127</v>
      </c>
      <c r="D52" s="894" t="s">
        <v>2127</v>
      </c>
      <c r="E52" s="772" t="s">
        <v>2127</v>
      </c>
      <c r="F52" s="772" t="s">
        <v>2127</v>
      </c>
      <c r="G52" s="772"/>
      <c r="H52" s="818"/>
      <c r="I52" s="930" t="str">
        <f t="shared" si="7"/>
        <v>3</v>
      </c>
      <c r="J52" s="930" t="str">
        <f t="shared" si="8"/>
        <v>Чистая прибыль, полученная от регулируемого вида деятельности в сфере водоотведения, в том числе:</v>
      </c>
      <c r="K52" s="930" t="str">
        <f t="shared" si="9"/>
        <v>Указывается общая сумма чистой прибыли, полученной от регулируемого вида деятельности.</v>
      </c>
      <c r="L52" s="773" t="str">
        <f t="shared" si="10"/>
        <v>3</v>
      </c>
      <c r="M52" s="773" t="str">
        <f t="shared" si="11"/>
        <v>Чистая прибыль, полученная от регулируемого вида деятельности в сфере водоотведения, в том числе:</v>
      </c>
      <c r="N52" s="773" t="str">
        <f t="shared" si="12"/>
        <v>Указывается общая сумма чистой прибыли, полученной от регулируемого вида деятельности.</v>
      </c>
      <c r="O52" s="884" t="s">
        <v>91</v>
      </c>
      <c r="P52" s="884" t="s">
        <v>90</v>
      </c>
      <c r="Q52" s="884" t="s">
        <v>90</v>
      </c>
      <c r="R52" s="884" t="s">
        <v>90</v>
      </c>
      <c r="S52" s="884"/>
      <c r="T52" s="772" t="s">
        <v>2235</v>
      </c>
      <c r="U52" s="772" t="s">
        <v>2236</v>
      </c>
      <c r="V52" s="772" t="s">
        <v>2237</v>
      </c>
      <c r="W52" s="772" t="s">
        <v>2238</v>
      </c>
      <c r="X52" s="772"/>
      <c r="Y52" s="926"/>
      <c r="Z52" s="775" t="s">
        <v>841</v>
      </c>
      <c r="AA52" s="778" t="s">
        <v>841</v>
      </c>
      <c r="AB52" s="778" t="s">
        <v>841</v>
      </c>
      <c r="AC52" s="778" t="s">
        <v>841</v>
      </c>
      <c r="AD52" s="775"/>
    </row>
    <row r="53" spans="1:30" ht="36" customHeight="1">
      <c r="A53" s="774"/>
      <c r="B53" s="826">
        <v>36</v>
      </c>
      <c r="C53" s="772">
        <v>1</v>
      </c>
      <c r="D53" s="894"/>
      <c r="E53" s="772"/>
      <c r="F53" s="772"/>
      <c r="G53" s="772"/>
      <c r="H53" s="818"/>
      <c r="I53" s="930" t="str">
        <f t="shared" si="7"/>
        <v>3.1</v>
      </c>
      <c r="J53" s="930"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0">
        <f t="shared" si="9"/>
        <v>0</v>
      </c>
      <c r="L53" s="773" t="str">
        <f t="shared" si="10"/>
        <v>3.1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4" t="s">
        <v>845</v>
      </c>
      <c r="P53" s="884" t="s">
        <v>417</v>
      </c>
      <c r="Q53" s="884" t="s">
        <v>417</v>
      </c>
      <c r="R53" s="884" t="s">
        <v>417</v>
      </c>
      <c r="S53" s="884"/>
      <c r="T53" s="772" t="s">
        <v>2239</v>
      </c>
      <c r="U53" s="772" t="s">
        <v>2239</v>
      </c>
      <c r="V53" s="772" t="s">
        <v>2239</v>
      </c>
      <c r="W53" s="772" t="s">
        <v>2239</v>
      </c>
      <c r="X53" s="772"/>
      <c r="Y53" s="926"/>
      <c r="Z53" s="775"/>
      <c r="AA53" s="778"/>
      <c r="AB53" s="775"/>
      <c r="AC53" s="775"/>
      <c r="AD53" s="775"/>
    </row>
    <row r="54" spans="1:30" ht="18" customHeight="1">
      <c r="A54" s="774"/>
      <c r="B54" s="826">
        <v>37</v>
      </c>
      <c r="C54" s="772" t="s">
        <v>2133</v>
      </c>
      <c r="D54" s="894" t="s">
        <v>2133</v>
      </c>
      <c r="E54" s="772" t="s">
        <v>2133</v>
      </c>
      <c r="F54" s="772" t="s">
        <v>2133</v>
      </c>
      <c r="G54" s="772"/>
      <c r="H54" s="818"/>
      <c r="I54" s="930" t="str">
        <f t="shared" si="7"/>
        <v>4</v>
      </c>
      <c r="J54" s="930" t="str">
        <f t="shared" si="8"/>
        <v>Изменение стоимости основных фондов, в том числе:</v>
      </c>
      <c r="K54" s="930" t="str">
        <f t="shared" si="9"/>
        <v>Указывается общее изменение стоимости основных фондов.</v>
      </c>
      <c r="L54" s="773" t="str">
        <f t="shared" si="10"/>
        <v>4</v>
      </c>
      <c r="M54" s="773" t="str">
        <f t="shared" si="11"/>
        <v>Изменение стоимости основных фондов, в том числе:</v>
      </c>
      <c r="N54" s="773" t="str">
        <f t="shared" si="12"/>
        <v>Указывается общее изменение стоимости основных фондов.</v>
      </c>
      <c r="O54" s="884" t="s">
        <v>116</v>
      </c>
      <c r="P54" s="884" t="s">
        <v>91</v>
      </c>
      <c r="Q54" s="884" t="s">
        <v>91</v>
      </c>
      <c r="R54" s="884" t="s">
        <v>91</v>
      </c>
      <c r="S54" s="884"/>
      <c r="T54" s="772" t="s">
        <v>843</v>
      </c>
      <c r="U54" s="772" t="s">
        <v>843</v>
      </c>
      <c r="V54" s="772" t="s">
        <v>843</v>
      </c>
      <c r="W54" s="772" t="s">
        <v>843</v>
      </c>
      <c r="X54" s="772"/>
      <c r="Y54" s="926"/>
      <c r="Z54" s="775" t="s">
        <v>844</v>
      </c>
      <c r="AA54" s="775" t="s">
        <v>844</v>
      </c>
      <c r="AB54" s="775" t="s">
        <v>844</v>
      </c>
      <c r="AC54" s="775" t="s">
        <v>844</v>
      </c>
      <c r="AD54" s="775"/>
    </row>
    <row r="55" spans="1:30" ht="36" customHeight="1">
      <c r="A55" s="774"/>
      <c r="B55" s="826">
        <v>38</v>
      </c>
      <c r="C55" s="772">
        <v>1</v>
      </c>
      <c r="D55" s="894"/>
      <c r="E55" s="772"/>
      <c r="F55" s="772"/>
      <c r="G55" s="772"/>
      <c r="H55" s="818"/>
      <c r="I55" s="930" t="str">
        <f t="shared" si="7"/>
        <v>4.1</v>
      </c>
      <c r="J55" s="930" t="str">
        <f t="shared" si="8"/>
        <v>Изменение стоимости основных фондов за счет их ввода в эксплуатацию (вывода из эксплуатации)</v>
      </c>
      <c r="K55" s="930" t="str">
        <f t="shared" si="9"/>
        <v>Указываются общее изменение стоимости основных фондов за счет их ввода в эксплуатацию и вывода из эксплуатации.</v>
      </c>
      <c r="L55" s="773" t="str">
        <f t="shared" si="10"/>
        <v>4.1</v>
      </c>
      <c r="M55" s="773" t="str">
        <f t="shared" si="11"/>
        <v>Изменение стоимости основных фондов за счет их ввода в эксплуатацию (вывода из эксплуатации)</v>
      </c>
      <c r="N55" s="773" t="str">
        <f t="shared" si="12"/>
        <v>Указываются общее изменение стоимости основных фондов за счет их ввода в эксплуатацию и вывода из эксплуатации.</v>
      </c>
      <c r="O55" s="884" t="s">
        <v>406</v>
      </c>
      <c r="P55" s="884" t="s">
        <v>845</v>
      </c>
      <c r="Q55" s="884" t="s">
        <v>845</v>
      </c>
      <c r="R55" s="884" t="s">
        <v>845</v>
      </c>
      <c r="S55" s="884"/>
      <c r="T55" s="77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2" t="s">
        <v>2240</v>
      </c>
      <c r="V55" s="772" t="s">
        <v>2240</v>
      </c>
      <c r="W55" s="772" t="s">
        <v>2240</v>
      </c>
      <c r="X55" s="772"/>
      <c r="Y55" s="926"/>
      <c r="Z55" s="775" t="s">
        <v>2241</v>
      </c>
      <c r="AA55" s="775" t="s">
        <v>2241</v>
      </c>
      <c r="AB55" s="775" t="s">
        <v>2241</v>
      </c>
      <c r="AC55" s="775" t="s">
        <v>2241</v>
      </c>
      <c r="AD55" s="775"/>
    </row>
    <row r="56" spans="1:30" ht="27" customHeight="1">
      <c r="A56" s="774"/>
      <c r="B56" s="826">
        <v>39</v>
      </c>
      <c r="C56" s="772" t="s">
        <v>1113</v>
      </c>
      <c r="D56" s="894"/>
      <c r="E56" s="772"/>
      <c r="F56" s="772"/>
      <c r="G56" s="772"/>
      <c r="H56" s="818"/>
      <c r="I56" s="930" t="str">
        <f t="shared" si="7"/>
        <v>4.1.1</v>
      </c>
      <c r="J56" s="930" t="str">
        <f t="shared" si="8"/>
        <v>Изменение стоимости основных фондов за счет их ввода в эксплуатацию</v>
      </c>
      <c r="K56" s="930" t="str">
        <f t="shared" si="9"/>
        <v>Указываются изменение стоимости основных фондов за счет их ввода в эксплуатацию.</v>
      </c>
      <c r="L56" s="773" t="str">
        <f t="shared" si="10"/>
        <v>4.1.1</v>
      </c>
      <c r="M56" s="773" t="str">
        <f t="shared" si="11"/>
        <v>Изменение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4" t="s">
        <v>1230</v>
      </c>
      <c r="P56" s="884" t="s">
        <v>848</v>
      </c>
      <c r="Q56" s="884" t="s">
        <v>848</v>
      </c>
      <c r="R56" s="884" t="s">
        <v>848</v>
      </c>
      <c r="S56" s="884"/>
      <c r="T56" s="77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2" t="s">
        <v>2242</v>
      </c>
      <c r="V56" s="772" t="s">
        <v>2242</v>
      </c>
      <c r="W56" s="772" t="s">
        <v>2242</v>
      </c>
      <c r="X56" s="772"/>
      <c r="Y56" s="926"/>
      <c r="Z56" s="775" t="s">
        <v>850</v>
      </c>
      <c r="AA56" s="775" t="s">
        <v>850</v>
      </c>
      <c r="AB56" s="775" t="s">
        <v>850</v>
      </c>
      <c r="AC56" s="775" t="s">
        <v>850</v>
      </c>
      <c r="AD56" s="775"/>
    </row>
    <row r="57" spans="1:30" ht="27" customHeight="1">
      <c r="A57" s="774"/>
      <c r="B57" s="826">
        <v>40</v>
      </c>
      <c r="C57" s="772" t="s">
        <v>1115</v>
      </c>
      <c r="D57" s="894"/>
      <c r="E57" s="772"/>
      <c r="F57" s="772"/>
      <c r="G57" s="772"/>
      <c r="H57" s="818"/>
      <c r="I57" s="930" t="str">
        <f t="shared" si="7"/>
        <v>4.1.2</v>
      </c>
      <c r="J57" s="930" t="str">
        <f t="shared" si="8"/>
        <v>Изменение стоимости основных фондов за счет их вывода в эксплуатацию</v>
      </c>
      <c r="K57" s="930" t="str">
        <f t="shared" si="9"/>
        <v>Указываются изменение стоимости основных фондов за счет их вывода из эксплуатации.</v>
      </c>
      <c r="L57" s="773" t="str">
        <f t="shared" si="10"/>
        <v>4.1.2</v>
      </c>
      <c r="M57" s="773" t="str">
        <f t="shared" si="11"/>
        <v>Изменение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4" t="s">
        <v>2243</v>
      </c>
      <c r="P57" s="884" t="s">
        <v>851</v>
      </c>
      <c r="Q57" s="884" t="s">
        <v>851</v>
      </c>
      <c r="R57" s="884" t="s">
        <v>851</v>
      </c>
      <c r="S57" s="884"/>
      <c r="T57" s="77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2" t="s">
        <v>2244</v>
      </c>
      <c r="V57" s="772" t="s">
        <v>2244</v>
      </c>
      <c r="W57" s="772" t="s">
        <v>2244</v>
      </c>
      <c r="X57" s="772"/>
      <c r="Y57" s="926"/>
      <c r="Z57" s="775" t="s">
        <v>853</v>
      </c>
      <c r="AA57" s="775" t="s">
        <v>853</v>
      </c>
      <c r="AB57" s="775" t="s">
        <v>853</v>
      </c>
      <c r="AC57" s="775" t="s">
        <v>853</v>
      </c>
      <c r="AD57" s="775"/>
    </row>
    <row r="58" spans="1:30" ht="18" customHeight="1">
      <c r="A58" s="774"/>
      <c r="B58" s="826">
        <v>41</v>
      </c>
      <c r="C58" s="772">
        <v>2</v>
      </c>
      <c r="D58" s="894"/>
      <c r="E58" s="772"/>
      <c r="F58" s="772"/>
      <c r="G58" s="772"/>
      <c r="H58" s="818"/>
      <c r="I58" s="930" t="str">
        <f t="shared" si="7"/>
        <v>4.2</v>
      </c>
      <c r="J58" s="930" t="str">
        <f t="shared" si="8"/>
        <v>Изменение стоимости основных фондов за счет их переоценки</v>
      </c>
      <c r="K58" s="930">
        <f t="shared" si="9"/>
        <v>0</v>
      </c>
      <c r="L58" s="773" t="str">
        <f t="shared" si="10"/>
        <v>4.2</v>
      </c>
      <c r="M58" s="773" t="str">
        <f t="shared" si="11"/>
        <v>Изменение стоимости основных фондов за счет их переоценки</v>
      </c>
      <c r="N58" s="773" t="str">
        <f t="shared" si="12"/>
        <v/>
      </c>
      <c r="O58" s="884" t="s">
        <v>973</v>
      </c>
      <c r="P58" s="884" t="s">
        <v>887</v>
      </c>
      <c r="Q58" s="884" t="s">
        <v>887</v>
      </c>
      <c r="R58" s="884" t="s">
        <v>887</v>
      </c>
      <c r="S58" s="884"/>
      <c r="T58" s="773" t="str">
        <f>IF(TITLE_TYPE_ORG="Регулируемая организация","Изменение стоимости основных фондов за счет их переоценки","за счет их переоценки")</f>
        <v>за счет их переоценки</v>
      </c>
      <c r="U58" s="772" t="s">
        <v>2245</v>
      </c>
      <c r="V58" s="772" t="s">
        <v>2245</v>
      </c>
      <c r="W58" s="772" t="s">
        <v>2245</v>
      </c>
      <c r="X58" s="772"/>
      <c r="Y58" s="926"/>
      <c r="Z58" s="775"/>
      <c r="AA58" s="778"/>
      <c r="AB58" s="775"/>
      <c r="AC58" s="775"/>
      <c r="AD58" s="775"/>
    </row>
    <row r="59" spans="1:30" ht="36" customHeight="1">
      <c r="A59" s="774"/>
      <c r="B59" s="826">
        <v>42</v>
      </c>
      <c r="C59" s="772">
        <v>3</v>
      </c>
      <c r="D59" s="894" t="s">
        <v>2233</v>
      </c>
      <c r="E59" s="772" t="s">
        <v>2233</v>
      </c>
      <c r="F59" s="772" t="s">
        <v>2233</v>
      </c>
      <c r="G59" s="772"/>
      <c r="H59" s="818"/>
      <c r="I59" s="930" t="str">
        <f t="shared" si="7"/>
        <v>5</v>
      </c>
      <c r="J59" s="930" t="str">
        <f t="shared" si="8"/>
        <v>Валовая прибыль (убытки) от продажи товаров и услуг по регулируемым видам деятельности в сфере водоотведения</v>
      </c>
      <c r="K59" s="930">
        <f t="shared" si="9"/>
        <v>0</v>
      </c>
      <c r="L59" s="773" t="str">
        <f t="shared" si="10"/>
        <v>5</v>
      </c>
      <c r="M59" s="773" t="str">
        <f t="shared" si="11"/>
        <v>Валовая прибыль (убытки) от продажи товаров и услуг по регулируемым видам деятельности в сфере водоотведения</v>
      </c>
      <c r="N59" s="773" t="str">
        <f t="shared" si="12"/>
        <v/>
      </c>
      <c r="O59" s="884"/>
      <c r="P59" s="884" t="s">
        <v>116</v>
      </c>
      <c r="Q59" s="884" t="s">
        <v>116</v>
      </c>
      <c r="R59" s="884" t="s">
        <v>116</v>
      </c>
      <c r="S59" s="884"/>
      <c r="T59" s="772"/>
      <c r="U59" s="772" t="s">
        <v>2246</v>
      </c>
      <c r="V59" s="772" t="s">
        <v>2247</v>
      </c>
      <c r="W59" s="772" t="s">
        <v>2248</v>
      </c>
      <c r="X59" s="772"/>
      <c r="Y59" s="926"/>
      <c r="Z59" s="775"/>
      <c r="AA59" s="778"/>
      <c r="AB59" s="775"/>
      <c r="AC59" s="775"/>
      <c r="AD59" s="775"/>
    </row>
    <row r="60" spans="1:30" ht="81" customHeight="1">
      <c r="A60" s="774"/>
      <c r="B60" s="826">
        <v>43</v>
      </c>
      <c r="C60" s="772" t="s">
        <v>2249</v>
      </c>
      <c r="D60" s="894" t="s">
        <v>2249</v>
      </c>
      <c r="E60" s="772" t="s">
        <v>2249</v>
      </c>
      <c r="F60" s="772" t="s">
        <v>2249</v>
      </c>
      <c r="G60" s="772"/>
      <c r="H60" s="818"/>
      <c r="I60" s="930" t="str">
        <f t="shared" si="7"/>
        <v>6</v>
      </c>
      <c r="J60" s="930" t="str">
        <f t="shared" si="8"/>
        <v>Годовая бухгалтерская (финансовая) отчетность, включая бухгалтерский баланс и приложения к нему</v>
      </c>
      <c r="K60" s="930"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4" t="s">
        <v>92</v>
      </c>
      <c r="P60" s="884" t="s">
        <v>92</v>
      </c>
      <c r="Q60" s="884" t="s">
        <v>92</v>
      </c>
      <c r="R60" s="884" t="s">
        <v>92</v>
      </c>
      <c r="S60" s="884"/>
      <c r="T60" s="772" t="s">
        <v>721</v>
      </c>
      <c r="U60" s="772" t="s">
        <v>721</v>
      </c>
      <c r="V60" s="772" t="s">
        <v>721</v>
      </c>
      <c r="W60" s="772" t="s">
        <v>721</v>
      </c>
      <c r="X60" s="772"/>
      <c r="Y60" s="926"/>
      <c r="Z60" s="775" t="s">
        <v>2250</v>
      </c>
      <c r="AA60" s="778" t="s">
        <v>2251</v>
      </c>
      <c r="AB60" s="775" t="s">
        <v>2252</v>
      </c>
      <c r="AC60" s="775" t="s">
        <v>2251</v>
      </c>
      <c r="AD60" s="775"/>
    </row>
    <row r="61" spans="1:30" ht="9" customHeight="1">
      <c r="A61" s="774"/>
      <c r="B61" s="826">
        <v>44</v>
      </c>
      <c r="C61" s="772"/>
      <c r="D61" s="894" t="s">
        <v>2253</v>
      </c>
      <c r="E61" s="772"/>
      <c r="F61" s="772"/>
      <c r="G61" s="772"/>
      <c r="H61" s="818"/>
      <c r="I61" s="930">
        <f t="shared" si="7"/>
        <v>0</v>
      </c>
      <c r="J61" s="930">
        <f t="shared" si="8"/>
        <v>0</v>
      </c>
      <c r="K61" s="930">
        <f t="shared" si="9"/>
        <v>0</v>
      </c>
      <c r="L61" s="773" t="str">
        <f t="shared" si="10"/>
        <v/>
      </c>
      <c r="M61" s="773" t="str">
        <f t="shared" si="11"/>
        <v/>
      </c>
      <c r="N61" s="773" t="str">
        <f t="shared" si="12"/>
        <v/>
      </c>
      <c r="O61" s="884"/>
      <c r="P61" s="884" t="s">
        <v>93</v>
      </c>
      <c r="Q61" s="884"/>
      <c r="R61" s="884"/>
      <c r="S61" s="884"/>
      <c r="T61" s="772"/>
      <c r="U61" s="772" t="s">
        <v>2254</v>
      </c>
      <c r="V61" s="772"/>
      <c r="W61" s="772"/>
      <c r="X61" s="772"/>
      <c r="Y61" s="926"/>
      <c r="Z61" s="775"/>
      <c r="AA61" s="778"/>
      <c r="AB61" s="775"/>
      <c r="AC61" s="775"/>
      <c r="AD61" s="775"/>
    </row>
    <row r="62" spans="1:30" ht="9" customHeight="1">
      <c r="A62" s="774"/>
      <c r="B62" s="826">
        <v>45</v>
      </c>
      <c r="C62" s="772"/>
      <c r="D62" s="894" t="s">
        <v>2255</v>
      </c>
      <c r="E62" s="772"/>
      <c r="F62" s="772"/>
      <c r="G62" s="772"/>
      <c r="H62" s="818"/>
      <c r="I62" s="930">
        <f t="shared" si="7"/>
        <v>0</v>
      </c>
      <c r="J62" s="930">
        <f t="shared" si="8"/>
        <v>0</v>
      </c>
      <c r="K62" s="930">
        <f t="shared" si="9"/>
        <v>0</v>
      </c>
      <c r="L62" s="773" t="str">
        <f t="shared" si="10"/>
        <v/>
      </c>
      <c r="M62" s="773" t="str">
        <f t="shared" si="11"/>
        <v/>
      </c>
      <c r="N62" s="773" t="str">
        <f t="shared" si="12"/>
        <v/>
      </c>
      <c r="O62" s="884"/>
      <c r="P62" s="884" t="s">
        <v>129</v>
      </c>
      <c r="Q62" s="884"/>
      <c r="R62" s="884"/>
      <c r="S62" s="884"/>
      <c r="T62" s="772"/>
      <c r="U62" s="772" t="s">
        <v>2256</v>
      </c>
      <c r="V62" s="772"/>
      <c r="W62" s="772"/>
      <c r="X62" s="772"/>
      <c r="Y62" s="926"/>
      <c r="Z62" s="775"/>
      <c r="AA62" s="778"/>
      <c r="AB62" s="775"/>
      <c r="AC62" s="775"/>
      <c r="AD62" s="775"/>
    </row>
    <row r="63" spans="1:30" ht="18" customHeight="1">
      <c r="A63" s="774"/>
      <c r="B63" s="826">
        <v>46</v>
      </c>
      <c r="C63" s="772"/>
      <c r="D63" s="894" t="s">
        <v>2257</v>
      </c>
      <c r="E63" s="772"/>
      <c r="F63" s="772"/>
      <c r="G63" s="772"/>
      <c r="H63" s="818"/>
      <c r="I63" s="930">
        <f t="shared" si="7"/>
        <v>0</v>
      </c>
      <c r="J63" s="930">
        <f t="shared" si="8"/>
        <v>0</v>
      </c>
      <c r="K63" s="930">
        <f t="shared" si="9"/>
        <v>0</v>
      </c>
      <c r="L63" s="773" t="str">
        <f t="shared" si="10"/>
        <v/>
      </c>
      <c r="M63" s="773" t="str">
        <f t="shared" si="11"/>
        <v/>
      </c>
      <c r="N63" s="773" t="str">
        <f t="shared" si="12"/>
        <v/>
      </c>
      <c r="O63" s="884"/>
      <c r="P63" s="884" t="s">
        <v>134</v>
      </c>
      <c r="Q63" s="884"/>
      <c r="R63" s="884"/>
      <c r="S63" s="884"/>
      <c r="T63" s="772"/>
      <c r="U63" s="772" t="s">
        <v>2258</v>
      </c>
      <c r="V63" s="772"/>
      <c r="W63" s="772"/>
      <c r="X63" s="772"/>
      <c r="Y63" s="926"/>
      <c r="Z63" s="775"/>
      <c r="AA63" s="778"/>
      <c r="AB63" s="775"/>
      <c r="AC63" s="775"/>
      <c r="AD63" s="775"/>
    </row>
    <row r="64" spans="1:30" ht="18" customHeight="1">
      <c r="A64" s="774"/>
      <c r="B64" s="826">
        <v>47</v>
      </c>
      <c r="C64" s="772"/>
      <c r="D64" s="894" t="s">
        <v>2259</v>
      </c>
      <c r="E64" s="772"/>
      <c r="F64" s="772"/>
      <c r="G64" s="772"/>
      <c r="H64" s="818"/>
      <c r="I64" s="930">
        <f t="shared" si="7"/>
        <v>0</v>
      </c>
      <c r="J64" s="930">
        <f t="shared" si="8"/>
        <v>0</v>
      </c>
      <c r="K64" s="930">
        <f t="shared" si="9"/>
        <v>0</v>
      </c>
      <c r="L64" s="773" t="str">
        <f t="shared" si="10"/>
        <v/>
      </c>
      <c r="M64" s="773" t="str">
        <f t="shared" si="11"/>
        <v/>
      </c>
      <c r="N64" s="773" t="str">
        <f t="shared" si="12"/>
        <v/>
      </c>
      <c r="O64" s="884"/>
      <c r="P64" s="884" t="s">
        <v>180</v>
      </c>
      <c r="Q64" s="884"/>
      <c r="R64" s="884"/>
      <c r="S64" s="884"/>
      <c r="T64" s="772"/>
      <c r="U64" s="772" t="s">
        <v>2260</v>
      </c>
      <c r="V64" s="772"/>
      <c r="W64" s="772"/>
      <c r="X64" s="772"/>
      <c r="Y64" s="926"/>
      <c r="Z64" s="775"/>
      <c r="AA64" s="778" t="s">
        <v>2261</v>
      </c>
      <c r="AB64" s="775"/>
      <c r="AC64" s="775"/>
      <c r="AD64" s="775"/>
    </row>
    <row r="65" spans="1:30" ht="18" customHeight="1">
      <c r="A65" s="774"/>
      <c r="B65" s="826">
        <v>48</v>
      </c>
      <c r="C65" s="772"/>
      <c r="D65" s="894"/>
      <c r="E65" s="772"/>
      <c r="F65" s="772"/>
      <c r="G65" s="772"/>
      <c r="H65" s="818"/>
      <c r="I65" s="930">
        <f t="shared" si="7"/>
        <v>0</v>
      </c>
      <c r="J65" s="930">
        <f t="shared" si="8"/>
        <v>0</v>
      </c>
      <c r="K65" s="930">
        <f t="shared" si="9"/>
        <v>0</v>
      </c>
      <c r="L65" s="773" t="str">
        <f t="shared" si="10"/>
        <v/>
      </c>
      <c r="M65" s="773" t="str">
        <f t="shared" si="11"/>
        <v/>
      </c>
      <c r="N65" s="773" t="str">
        <f t="shared" si="12"/>
        <v/>
      </c>
      <c r="O65" s="884"/>
      <c r="P65" s="884" t="s">
        <v>2174</v>
      </c>
      <c r="Q65" s="884"/>
      <c r="R65" s="884"/>
      <c r="S65" s="884"/>
      <c r="T65" s="772"/>
      <c r="U65" s="772" t="s">
        <v>2262</v>
      </c>
      <c r="V65" s="772"/>
      <c r="W65" s="772"/>
      <c r="X65" s="772"/>
      <c r="Y65" s="926"/>
      <c r="Z65" s="775"/>
      <c r="AA65" s="778"/>
      <c r="AB65" s="775"/>
      <c r="AC65" s="775"/>
      <c r="AD65" s="775"/>
    </row>
    <row r="66" spans="1:30" ht="18" customHeight="1">
      <c r="A66" s="774"/>
      <c r="B66" s="826">
        <v>49</v>
      </c>
      <c r="C66" s="772"/>
      <c r="D66" s="894"/>
      <c r="E66" s="772"/>
      <c r="F66" s="772"/>
      <c r="G66" s="772"/>
      <c r="H66" s="818"/>
      <c r="I66" s="930">
        <f t="shared" si="7"/>
        <v>0</v>
      </c>
      <c r="J66" s="930">
        <f t="shared" si="8"/>
        <v>0</v>
      </c>
      <c r="K66" s="930">
        <f t="shared" si="9"/>
        <v>0</v>
      </c>
      <c r="L66" s="773" t="str">
        <f t="shared" si="10"/>
        <v/>
      </c>
      <c r="M66" s="773" t="str">
        <f t="shared" si="11"/>
        <v/>
      </c>
      <c r="N66" s="773" t="str">
        <f t="shared" si="12"/>
        <v/>
      </c>
      <c r="O66" s="884"/>
      <c r="P66" s="884" t="s">
        <v>2178</v>
      </c>
      <c r="Q66" s="884"/>
      <c r="R66" s="884"/>
      <c r="S66" s="884"/>
      <c r="T66" s="772"/>
      <c r="U66" s="772" t="s">
        <v>2263</v>
      </c>
      <c r="V66" s="772"/>
      <c r="W66" s="772"/>
      <c r="X66" s="772"/>
      <c r="Y66" s="926"/>
      <c r="Z66" s="775"/>
      <c r="AA66" s="778"/>
      <c r="AB66" s="775"/>
      <c r="AC66" s="775"/>
      <c r="AD66" s="775"/>
    </row>
    <row r="67" spans="1:30" ht="27" customHeight="1">
      <c r="A67" s="774"/>
      <c r="B67" s="826">
        <v>50</v>
      </c>
      <c r="C67" s="772"/>
      <c r="D67" s="894"/>
      <c r="E67" s="772"/>
      <c r="F67" s="772"/>
      <c r="G67" s="772"/>
      <c r="H67" s="818"/>
      <c r="I67" s="930">
        <f t="shared" si="7"/>
        <v>0</v>
      </c>
      <c r="J67" s="930">
        <f t="shared" si="8"/>
        <v>0</v>
      </c>
      <c r="K67" s="930">
        <f t="shared" si="9"/>
        <v>0</v>
      </c>
      <c r="L67" s="773" t="str">
        <f t="shared" si="10"/>
        <v/>
      </c>
      <c r="M67" s="773" t="str">
        <f t="shared" si="11"/>
        <v/>
      </c>
      <c r="N67" s="773" t="str">
        <f t="shared" si="12"/>
        <v/>
      </c>
      <c r="O67" s="884"/>
      <c r="P67" s="884" t="s">
        <v>2264</v>
      </c>
      <c r="Q67" s="884"/>
      <c r="R67" s="884"/>
      <c r="S67" s="884"/>
      <c r="T67" s="772"/>
      <c r="U67" s="772" t="s">
        <v>2265</v>
      </c>
      <c r="V67" s="772"/>
      <c r="W67" s="772"/>
      <c r="X67" s="772"/>
      <c r="Y67" s="926"/>
      <c r="Z67" s="775"/>
      <c r="AA67" s="778"/>
      <c r="AB67" s="775"/>
      <c r="AC67" s="775"/>
      <c r="AD67" s="775"/>
    </row>
    <row r="68" spans="1:30" ht="27" customHeight="1">
      <c r="A68" s="774"/>
      <c r="B68" s="826">
        <v>51</v>
      </c>
      <c r="C68" s="772"/>
      <c r="D68" s="894"/>
      <c r="E68" s="772"/>
      <c r="F68" s="772"/>
      <c r="G68" s="772"/>
      <c r="H68" s="818"/>
      <c r="I68" s="930">
        <f t="shared" si="7"/>
        <v>0</v>
      </c>
      <c r="J68" s="930">
        <f t="shared" si="8"/>
        <v>0</v>
      </c>
      <c r="K68" s="930">
        <f t="shared" si="9"/>
        <v>0</v>
      </c>
      <c r="L68" s="773" t="str">
        <f t="shared" si="10"/>
        <v/>
      </c>
      <c r="M68" s="773" t="str">
        <f t="shared" si="11"/>
        <v/>
      </c>
      <c r="N68" s="773" t="str">
        <f t="shared" si="12"/>
        <v/>
      </c>
      <c r="O68" s="884"/>
      <c r="P68" s="884" t="s">
        <v>2266</v>
      </c>
      <c r="Q68" s="884"/>
      <c r="R68" s="884"/>
      <c r="S68" s="884"/>
      <c r="T68" s="772"/>
      <c r="U68" s="772" t="s">
        <v>2267</v>
      </c>
      <c r="V68" s="772"/>
      <c r="W68" s="772"/>
      <c r="X68" s="772"/>
      <c r="Y68" s="926"/>
      <c r="Z68" s="775"/>
      <c r="AA68" s="778"/>
      <c r="AB68" s="775"/>
      <c r="AC68" s="775"/>
      <c r="AD68" s="775"/>
    </row>
    <row r="69" spans="1:30" ht="9" customHeight="1">
      <c r="A69" s="774"/>
      <c r="B69" s="826">
        <v>52</v>
      </c>
      <c r="C69" s="772"/>
      <c r="D69" s="894" t="s">
        <v>2268</v>
      </c>
      <c r="E69" s="772"/>
      <c r="F69" s="772"/>
      <c r="G69" s="772"/>
      <c r="H69" s="818"/>
      <c r="I69" s="930">
        <f t="shared" si="7"/>
        <v>0</v>
      </c>
      <c r="J69" s="930">
        <f t="shared" si="8"/>
        <v>0</v>
      </c>
      <c r="K69" s="930">
        <f t="shared" si="9"/>
        <v>0</v>
      </c>
      <c r="L69" s="773" t="str">
        <f t="shared" si="10"/>
        <v/>
      </c>
      <c r="M69" s="773" t="str">
        <f t="shared" si="11"/>
        <v/>
      </c>
      <c r="N69" s="773" t="str">
        <f t="shared" si="12"/>
        <v/>
      </c>
      <c r="O69" s="884"/>
      <c r="P69" s="884" t="s">
        <v>181</v>
      </c>
      <c r="Q69" s="884"/>
      <c r="R69" s="884"/>
      <c r="S69" s="884"/>
      <c r="T69" s="772"/>
      <c r="U69" s="772" t="s">
        <v>2269</v>
      </c>
      <c r="V69" s="772"/>
      <c r="W69" s="772"/>
      <c r="X69" s="772"/>
      <c r="Y69" s="926"/>
      <c r="Z69" s="775"/>
      <c r="AA69" s="778"/>
      <c r="AB69" s="775"/>
      <c r="AC69" s="775"/>
      <c r="AD69" s="775"/>
    </row>
    <row r="70" spans="1:30" ht="27" customHeight="1">
      <c r="A70" s="774"/>
      <c r="B70" s="826">
        <v>53</v>
      </c>
      <c r="C70" s="772"/>
      <c r="D70" s="894"/>
      <c r="E70" s="772" t="s">
        <v>2253</v>
      </c>
      <c r="F70" s="772"/>
      <c r="G70" s="772"/>
      <c r="H70" s="818"/>
      <c r="I70" s="930">
        <f t="shared" si="7"/>
        <v>0</v>
      </c>
      <c r="J70" s="930">
        <f t="shared" si="8"/>
        <v>0</v>
      </c>
      <c r="K70" s="930">
        <f t="shared" si="9"/>
        <v>0</v>
      </c>
      <c r="L70" s="773" t="str">
        <f t="shared" si="10"/>
        <v/>
      </c>
      <c r="M70" s="773" t="str">
        <f t="shared" si="11"/>
        <v/>
      </c>
      <c r="N70" s="773" t="str">
        <f t="shared" si="12"/>
        <v/>
      </c>
      <c r="O70" s="884"/>
      <c r="P70" s="884"/>
      <c r="Q70" s="884" t="s">
        <v>93</v>
      </c>
      <c r="R70" s="884"/>
      <c r="S70" s="884"/>
      <c r="T70" s="772"/>
      <c r="U70" s="772"/>
      <c r="V70" s="772" t="s">
        <v>2270</v>
      </c>
      <c r="W70" s="772"/>
      <c r="X70" s="772"/>
      <c r="Y70" s="926"/>
      <c r="Z70" s="775"/>
      <c r="AA70" s="778"/>
      <c r="AB70" s="775"/>
      <c r="AC70" s="775"/>
      <c r="AD70" s="775"/>
    </row>
    <row r="71" spans="1:30" ht="36" customHeight="1">
      <c r="A71" s="774"/>
      <c r="B71" s="826">
        <v>54</v>
      </c>
      <c r="C71" s="772"/>
      <c r="D71" s="894"/>
      <c r="E71" s="772" t="s">
        <v>2255</v>
      </c>
      <c r="F71" s="772"/>
      <c r="G71" s="772"/>
      <c r="H71" s="818"/>
      <c r="I71" s="930">
        <f t="shared" si="7"/>
        <v>0</v>
      </c>
      <c r="J71" s="930">
        <f t="shared" si="8"/>
        <v>0</v>
      </c>
      <c r="K71" s="930">
        <f t="shared" si="9"/>
        <v>0</v>
      </c>
      <c r="L71" s="773" t="str">
        <f t="shared" si="10"/>
        <v/>
      </c>
      <c r="M71" s="773" t="str">
        <f t="shared" si="11"/>
        <v/>
      </c>
      <c r="N71" s="773" t="str">
        <f t="shared" si="12"/>
        <v/>
      </c>
      <c r="O71" s="884"/>
      <c r="P71" s="884"/>
      <c r="Q71" s="884" t="s">
        <v>129</v>
      </c>
      <c r="R71" s="884"/>
      <c r="S71" s="884"/>
      <c r="T71" s="772"/>
      <c r="U71" s="772"/>
      <c r="V71" s="772" t="s">
        <v>2271</v>
      </c>
      <c r="W71" s="772"/>
      <c r="X71" s="772"/>
      <c r="Y71" s="926"/>
      <c r="Z71" s="775"/>
      <c r="AA71" s="778"/>
      <c r="AB71" s="775"/>
      <c r="AC71" s="775"/>
      <c r="AD71" s="775"/>
    </row>
    <row r="72" spans="1:30" ht="27" customHeight="1">
      <c r="A72" s="774"/>
      <c r="B72" s="826">
        <v>55</v>
      </c>
      <c r="C72" s="772"/>
      <c r="D72" s="894"/>
      <c r="E72" s="772" t="s">
        <v>2257</v>
      </c>
      <c r="F72" s="772"/>
      <c r="G72" s="772"/>
      <c r="H72" s="818"/>
      <c r="I72" s="930">
        <f t="shared" si="7"/>
        <v>0</v>
      </c>
      <c r="J72" s="930">
        <f t="shared" si="8"/>
        <v>0</v>
      </c>
      <c r="K72" s="930">
        <f t="shared" si="9"/>
        <v>0</v>
      </c>
      <c r="L72" s="773" t="str">
        <f t="shared" si="10"/>
        <v/>
      </c>
      <c r="M72" s="773" t="str">
        <f t="shared" si="11"/>
        <v/>
      </c>
      <c r="N72" s="773" t="str">
        <f t="shared" si="12"/>
        <v/>
      </c>
      <c r="O72" s="884"/>
      <c r="P72" s="884"/>
      <c r="Q72" s="884" t="s">
        <v>134</v>
      </c>
      <c r="R72" s="884"/>
      <c r="S72" s="884"/>
      <c r="T72" s="772"/>
      <c r="U72" s="772"/>
      <c r="V72" s="772" t="s">
        <v>2272</v>
      </c>
      <c r="W72" s="772"/>
      <c r="X72" s="772"/>
      <c r="Y72" s="926"/>
      <c r="Z72" s="775"/>
      <c r="AA72" s="778"/>
      <c r="AB72" s="775"/>
      <c r="AC72" s="775"/>
      <c r="AD72" s="775"/>
    </row>
    <row r="73" spans="1:30" ht="36" customHeight="1">
      <c r="A73" s="774"/>
      <c r="B73" s="826">
        <v>56</v>
      </c>
      <c r="C73" s="772"/>
      <c r="D73" s="894"/>
      <c r="E73" s="772" t="s">
        <v>2259</v>
      </c>
      <c r="F73" s="772"/>
      <c r="G73" s="772"/>
      <c r="H73" s="818"/>
      <c r="I73" s="930">
        <f t="shared" si="7"/>
        <v>0</v>
      </c>
      <c r="J73" s="930">
        <f t="shared" si="8"/>
        <v>0</v>
      </c>
      <c r="K73" s="930">
        <f t="shared" si="9"/>
        <v>0</v>
      </c>
      <c r="L73" s="773" t="str">
        <f t="shared" si="10"/>
        <v/>
      </c>
      <c r="M73" s="773" t="str">
        <f t="shared" si="11"/>
        <v/>
      </c>
      <c r="N73" s="773" t="str">
        <f t="shared" si="12"/>
        <v/>
      </c>
      <c r="O73" s="884"/>
      <c r="P73" s="884"/>
      <c r="Q73" s="884" t="s">
        <v>180</v>
      </c>
      <c r="R73" s="884"/>
      <c r="S73" s="884"/>
      <c r="T73" s="772"/>
      <c r="U73" s="772"/>
      <c r="V73" s="772" t="s">
        <v>2273</v>
      </c>
      <c r="W73" s="772"/>
      <c r="X73" s="772"/>
      <c r="Y73" s="926"/>
      <c r="Z73" s="775"/>
      <c r="AA73" s="778"/>
      <c r="AB73" s="775"/>
      <c r="AC73" s="775"/>
      <c r="AD73" s="775"/>
    </row>
    <row r="74" spans="1:30" ht="18" customHeight="1">
      <c r="A74" s="774"/>
      <c r="B74" s="826">
        <v>57</v>
      </c>
      <c r="C74" s="772"/>
      <c r="D74" s="894"/>
      <c r="E74" s="772" t="s">
        <v>2268</v>
      </c>
      <c r="F74" s="772"/>
      <c r="G74" s="772"/>
      <c r="H74" s="818"/>
      <c r="I74" s="930">
        <f t="shared" si="7"/>
        <v>0</v>
      </c>
      <c r="J74" s="930">
        <f t="shared" si="8"/>
        <v>0</v>
      </c>
      <c r="K74" s="930">
        <f t="shared" si="9"/>
        <v>0</v>
      </c>
      <c r="L74" s="773" t="str">
        <f t="shared" si="10"/>
        <v/>
      </c>
      <c r="M74" s="773" t="str">
        <f t="shared" si="11"/>
        <v/>
      </c>
      <c r="N74" s="773" t="str">
        <f t="shared" si="12"/>
        <v/>
      </c>
      <c r="O74" s="884"/>
      <c r="P74" s="884"/>
      <c r="Q74" s="884" t="s">
        <v>181</v>
      </c>
      <c r="R74" s="884"/>
      <c r="S74" s="884"/>
      <c r="T74" s="772"/>
      <c r="U74" s="772"/>
      <c r="V74" s="772" t="s">
        <v>2274</v>
      </c>
      <c r="W74" s="772"/>
      <c r="X74" s="772"/>
      <c r="Y74" s="926"/>
      <c r="Z74" s="775"/>
      <c r="AA74" s="778"/>
      <c r="AB74" s="775"/>
      <c r="AC74" s="775"/>
      <c r="AD74" s="775"/>
    </row>
    <row r="75" spans="1:30" ht="18" customHeight="1">
      <c r="A75" s="774"/>
      <c r="B75" s="826">
        <v>58</v>
      </c>
      <c r="C75" s="772"/>
      <c r="D75" s="894"/>
      <c r="E75" s="772"/>
      <c r="F75" s="772" t="s">
        <v>2253</v>
      </c>
      <c r="G75" s="772"/>
      <c r="H75" s="818"/>
      <c r="I75" s="930" t="str">
        <f t="shared" si="7"/>
        <v>7</v>
      </c>
      <c r="J75" s="930" t="str">
        <f t="shared" si="8"/>
        <v>Объём сточных вод, принятых от потребителей</v>
      </c>
      <c r="K75" s="930">
        <f t="shared" si="9"/>
        <v>0</v>
      </c>
      <c r="L75" s="773" t="str">
        <f t="shared" si="10"/>
        <v>7</v>
      </c>
      <c r="M75" s="773" t="str">
        <f t="shared" si="11"/>
        <v>Объём сточных вод, принятых от потребителей</v>
      </c>
      <c r="N75" s="773" t="str">
        <f t="shared" si="12"/>
        <v/>
      </c>
      <c r="O75" s="884"/>
      <c r="P75" s="884"/>
      <c r="Q75" s="884"/>
      <c r="R75" s="884" t="s">
        <v>93</v>
      </c>
      <c r="S75" s="884"/>
      <c r="T75" s="772"/>
      <c r="U75" s="772"/>
      <c r="V75" s="772"/>
      <c r="W75" s="772" t="s">
        <v>2275</v>
      </c>
      <c r="X75" s="772"/>
      <c r="Y75" s="926"/>
      <c r="Z75" s="775"/>
      <c r="AA75" s="778"/>
      <c r="AB75" s="775"/>
      <c r="AC75" s="775"/>
      <c r="AD75" s="775"/>
    </row>
    <row r="76" spans="1:30" ht="36" customHeight="1">
      <c r="A76" s="774"/>
      <c r="B76" s="826">
        <v>59</v>
      </c>
      <c r="C76" s="772"/>
      <c r="D76" s="894"/>
      <c r="E76" s="772"/>
      <c r="F76" s="772" t="s">
        <v>2255</v>
      </c>
      <c r="G76" s="772"/>
      <c r="H76" s="818"/>
      <c r="I76" s="930" t="str">
        <f t="shared" si="7"/>
        <v>8</v>
      </c>
      <c r="J76" s="930" t="str">
        <f t="shared" si="8"/>
        <v>Объём сточных вод, принятых от других регулируемых организаций, осуществляющих водоотведение и (или) очистку сточных вод</v>
      </c>
      <c r="K76" s="930">
        <f t="shared" si="9"/>
        <v>0</v>
      </c>
      <c r="L76" s="773" t="str">
        <f t="shared" si="10"/>
        <v>8</v>
      </c>
      <c r="M76" s="773" t="str">
        <f t="shared" si="11"/>
        <v>Объём сточных вод, принятых от других регулируемых организаций, осуществляющих водоотведение и (или) очистку сточных вод</v>
      </c>
      <c r="N76" s="773" t="str">
        <f t="shared" si="12"/>
        <v/>
      </c>
      <c r="O76" s="884"/>
      <c r="P76" s="884"/>
      <c r="Q76" s="884"/>
      <c r="R76" s="884" t="s">
        <v>129</v>
      </c>
      <c r="S76" s="884"/>
      <c r="T76" s="772"/>
      <c r="U76" s="772"/>
      <c r="V76" s="772"/>
      <c r="W76" s="772" t="s">
        <v>2276</v>
      </c>
      <c r="X76" s="772"/>
      <c r="Y76" s="926"/>
      <c r="Z76" s="775"/>
      <c r="AA76" s="778"/>
      <c r="AB76" s="775"/>
      <c r="AC76" s="775"/>
      <c r="AD76" s="775"/>
    </row>
    <row r="77" spans="1:30" ht="18" customHeight="1">
      <c r="A77" s="774"/>
      <c r="B77" s="826">
        <v>60</v>
      </c>
      <c r="C77" s="772"/>
      <c r="D77" s="894"/>
      <c r="E77" s="772"/>
      <c r="F77" s="772" t="s">
        <v>2257</v>
      </c>
      <c r="G77" s="772"/>
      <c r="H77" s="818"/>
      <c r="I77" s="930" t="str">
        <f t="shared" si="7"/>
        <v>9</v>
      </c>
      <c r="J77" s="930" t="str">
        <f t="shared" si="8"/>
        <v>Объём сточных вод, пропущенных через очистные сооружения</v>
      </c>
      <c r="K77" s="930">
        <f t="shared" si="9"/>
        <v>0</v>
      </c>
      <c r="L77" s="773" t="str">
        <f t="shared" si="10"/>
        <v>9</v>
      </c>
      <c r="M77" s="773" t="str">
        <f t="shared" si="11"/>
        <v>Объём сточных вод, пропущенных через очистные сооружения</v>
      </c>
      <c r="N77" s="773" t="str">
        <f t="shared" si="12"/>
        <v/>
      </c>
      <c r="O77" s="884"/>
      <c r="P77" s="884"/>
      <c r="Q77" s="884"/>
      <c r="R77" s="884" t="s">
        <v>134</v>
      </c>
      <c r="S77" s="884"/>
      <c r="T77" s="772"/>
      <c r="U77" s="772"/>
      <c r="V77" s="772"/>
      <c r="W77" s="772" t="s">
        <v>2277</v>
      </c>
      <c r="X77" s="772"/>
      <c r="Y77" s="926"/>
      <c r="Z77" s="775"/>
      <c r="AA77" s="778"/>
      <c r="AB77" s="775"/>
      <c r="AC77" s="775"/>
      <c r="AD77" s="775"/>
    </row>
    <row r="78" spans="1:30" ht="72" customHeight="1">
      <c r="A78" s="774"/>
      <c r="B78" s="826">
        <v>61</v>
      </c>
      <c r="C78" s="772" t="s">
        <v>2253</v>
      </c>
      <c r="D78" s="894"/>
      <c r="E78" s="772"/>
      <c r="F78" s="772"/>
      <c r="G78" s="772"/>
      <c r="H78" s="818"/>
      <c r="I78" s="930">
        <f t="shared" si="7"/>
        <v>0</v>
      </c>
      <c r="J78" s="930">
        <f t="shared" si="8"/>
        <v>0</v>
      </c>
      <c r="K78" s="930">
        <f t="shared" si="9"/>
        <v>0</v>
      </c>
      <c r="L78" s="773" t="str">
        <f t="shared" si="10"/>
        <v/>
      </c>
      <c r="M78" s="773" t="str">
        <f t="shared" si="11"/>
        <v/>
      </c>
      <c r="N78" s="773" t="str">
        <f t="shared" si="12"/>
        <v/>
      </c>
      <c r="O78" s="884" t="s">
        <v>93</v>
      </c>
      <c r="P78" s="884"/>
      <c r="Q78" s="884"/>
      <c r="R78" s="884"/>
      <c r="S78" s="884"/>
      <c r="T78" s="772" t="s">
        <v>726</v>
      </c>
      <c r="U78" s="772"/>
      <c r="V78" s="772"/>
      <c r="W78" s="772"/>
      <c r="X78" s="772"/>
      <c r="Y78" s="926"/>
      <c r="Z78" s="775" t="s">
        <v>2278</v>
      </c>
      <c r="AA78" s="778"/>
      <c r="AB78" s="775"/>
      <c r="AC78" s="775"/>
      <c r="AD78" s="775"/>
    </row>
    <row r="79" spans="1:30" ht="36" customHeight="1">
      <c r="A79" s="774"/>
      <c r="B79" s="826">
        <v>62</v>
      </c>
      <c r="C79" s="772" t="s">
        <v>2255</v>
      </c>
      <c r="D79" s="894"/>
      <c r="E79" s="772"/>
      <c r="F79" s="772"/>
      <c r="G79" s="772"/>
      <c r="H79" s="818"/>
      <c r="I79" s="930">
        <f t="shared" si="7"/>
        <v>0</v>
      </c>
      <c r="J79" s="930">
        <f t="shared" si="8"/>
        <v>0</v>
      </c>
      <c r="K79" s="930">
        <f t="shared" si="9"/>
        <v>0</v>
      </c>
      <c r="L79" s="773" t="str">
        <f t="shared" si="10"/>
        <v/>
      </c>
      <c r="M79" s="773" t="str">
        <f t="shared" si="11"/>
        <v/>
      </c>
      <c r="N79" s="773" t="str">
        <f t="shared" si="12"/>
        <v/>
      </c>
      <c r="O79" s="884" t="s">
        <v>129</v>
      </c>
      <c r="P79" s="884"/>
      <c r="Q79" s="884"/>
      <c r="R79" s="884"/>
      <c r="S79" s="884"/>
      <c r="T79" s="772" t="s">
        <v>2279</v>
      </c>
      <c r="U79" s="772"/>
      <c r="V79" s="772"/>
      <c r="W79" s="772"/>
      <c r="X79" s="772"/>
      <c r="Y79" s="926"/>
      <c r="Z79" s="775" t="s">
        <v>2280</v>
      </c>
      <c r="AA79" s="778"/>
      <c r="AB79" s="775"/>
      <c r="AC79" s="775"/>
      <c r="AD79" s="775"/>
    </row>
    <row r="80" spans="1:30" ht="45" customHeight="1">
      <c r="A80" s="774"/>
      <c r="B80" s="826">
        <v>63</v>
      </c>
      <c r="C80" s="772" t="s">
        <v>2257</v>
      </c>
      <c r="D80" s="894"/>
      <c r="E80" s="772"/>
      <c r="F80" s="772"/>
      <c r="G80" s="772"/>
      <c r="H80" s="818"/>
      <c r="I80" s="930">
        <f t="shared" si="7"/>
        <v>0</v>
      </c>
      <c r="J80" s="930">
        <f t="shared" si="8"/>
        <v>0</v>
      </c>
      <c r="K80" s="930">
        <f t="shared" si="9"/>
        <v>0</v>
      </c>
      <c r="L80" s="773" t="str">
        <f t="shared" si="10"/>
        <v/>
      </c>
      <c r="M80" s="773" t="str">
        <f t="shared" si="11"/>
        <v/>
      </c>
      <c r="N80" s="773" t="str">
        <f t="shared" si="12"/>
        <v/>
      </c>
      <c r="O80" s="884" t="s">
        <v>134</v>
      </c>
      <c r="P80" s="884"/>
      <c r="Q80" s="884"/>
      <c r="R80" s="884"/>
      <c r="S80" s="884"/>
      <c r="T80" s="772" t="s">
        <v>2281</v>
      </c>
      <c r="U80" s="772"/>
      <c r="V80" s="772"/>
      <c r="W80" s="772"/>
      <c r="X80" s="772"/>
      <c r="Y80" s="926"/>
      <c r="Z80" s="775" t="s">
        <v>2282</v>
      </c>
      <c r="AA80" s="778"/>
      <c r="AB80" s="775"/>
      <c r="AC80" s="775"/>
      <c r="AD80" s="775"/>
    </row>
    <row r="81" spans="1:30" ht="36" customHeight="1">
      <c r="A81" s="774"/>
      <c r="B81" s="826">
        <v>64</v>
      </c>
      <c r="C81" s="772" t="s">
        <v>2259</v>
      </c>
      <c r="D81" s="894"/>
      <c r="E81" s="772"/>
      <c r="F81" s="772"/>
      <c r="G81" s="772"/>
      <c r="H81" s="818"/>
      <c r="I81" s="930">
        <f t="shared" si="7"/>
        <v>0</v>
      </c>
      <c r="J81" s="930">
        <f t="shared" si="8"/>
        <v>0</v>
      </c>
      <c r="K81" s="930">
        <f t="shared" si="9"/>
        <v>0</v>
      </c>
      <c r="L81" s="773" t="str">
        <f t="shared" si="10"/>
        <v/>
      </c>
      <c r="M81" s="773" t="str">
        <f t="shared" si="11"/>
        <v/>
      </c>
      <c r="N81" s="773" t="str">
        <f t="shared" si="12"/>
        <v/>
      </c>
      <c r="O81" s="884" t="s">
        <v>2165</v>
      </c>
      <c r="P81" s="884"/>
      <c r="Q81" s="884"/>
      <c r="R81" s="884"/>
      <c r="S81" s="884"/>
      <c r="T81" s="772" t="s">
        <v>2283</v>
      </c>
      <c r="U81" s="772"/>
      <c r="V81" s="772"/>
      <c r="W81" s="772"/>
      <c r="X81" s="772"/>
      <c r="Y81" s="926"/>
      <c r="Z81" s="775" t="s">
        <v>2284</v>
      </c>
      <c r="AA81" s="778"/>
      <c r="AB81" s="775"/>
      <c r="AC81" s="775"/>
      <c r="AD81" s="775"/>
    </row>
    <row r="82" spans="1:30" ht="90" customHeight="1">
      <c r="A82" s="774"/>
      <c r="B82" s="826">
        <v>65</v>
      </c>
      <c r="C82" s="772" t="s">
        <v>2268</v>
      </c>
      <c r="D82" s="894"/>
      <c r="E82" s="772"/>
      <c r="F82" s="772"/>
      <c r="G82" s="772"/>
      <c r="H82" s="818"/>
      <c r="I82" s="930">
        <f t="shared" ref="I82:I101" si="13">INDEX(TEMPLATE_NUMBER_POINT_FHD,B82,MATCH(TEMPLATE_SPHERE,TEMPLATE_SPHERE_LIST_FOR_NOTE,0))</f>
        <v>0</v>
      </c>
      <c r="J82" s="930">
        <f t="shared" ref="J82:J101" si="14">INDEX(TEMPLATE_DATA_POINT_FHD,B82,MATCH(TEMPLATE_SPHERE,TEMPLATE_SPHERE_LIST_FOR_NOTE,0))</f>
        <v>0</v>
      </c>
      <c r="K82" s="930">
        <f t="shared" ref="K82:K101" si="15">INDEX(TEMPLATE_NOTE_POINT_FHD,B82,MATCH(TEMPLATE_SPHERE,TEMPLATE_SPHERE_LIST_FOR_NOTE,0))</f>
        <v>0</v>
      </c>
      <c r="L82" s="773" t="str">
        <f t="shared" ref="L82:L101" si="16">IF(I82=0,"",I82)</f>
        <v/>
      </c>
      <c r="M82" s="773" t="str">
        <f t="shared" ref="M82:M101" si="17">IF(J82=0,"",J82)</f>
        <v/>
      </c>
      <c r="N82" s="773" t="str">
        <f t="shared" ref="N82:N101" si="18">IF(K82=0,"",K82)</f>
        <v/>
      </c>
      <c r="O82" s="884" t="s">
        <v>180</v>
      </c>
      <c r="P82" s="884"/>
      <c r="Q82" s="884"/>
      <c r="R82" s="884"/>
      <c r="S82" s="884"/>
      <c r="T82" s="772" t="s">
        <v>2285</v>
      </c>
      <c r="U82" s="772"/>
      <c r="V82" s="772"/>
      <c r="W82" s="772"/>
      <c r="X82" s="772"/>
      <c r="Y82" s="926"/>
      <c r="Z82" s="775" t="s">
        <v>2286</v>
      </c>
      <c r="AA82" s="778"/>
      <c r="AB82" s="775"/>
      <c r="AC82" s="775"/>
      <c r="AD82" s="775"/>
    </row>
    <row r="83" spans="1:30" ht="9" customHeight="1">
      <c r="A83" s="774"/>
      <c r="B83" s="826">
        <v>66</v>
      </c>
      <c r="C83" s="772"/>
      <c r="D83" s="894"/>
      <c r="E83" s="772"/>
      <c r="F83" s="772"/>
      <c r="G83" s="772"/>
      <c r="H83" s="818"/>
      <c r="I83" s="930">
        <f t="shared" si="13"/>
        <v>0</v>
      </c>
      <c r="J83" s="930">
        <f t="shared" si="14"/>
        <v>0</v>
      </c>
      <c r="K83" s="930">
        <f t="shared" si="15"/>
        <v>0</v>
      </c>
      <c r="L83" s="773" t="str">
        <f t="shared" si="16"/>
        <v/>
      </c>
      <c r="M83" s="773" t="str">
        <f t="shared" si="17"/>
        <v/>
      </c>
      <c r="N83" s="773" t="str">
        <f t="shared" si="18"/>
        <v/>
      </c>
      <c r="O83" s="884" t="s">
        <v>2174</v>
      </c>
      <c r="P83" s="884"/>
      <c r="Q83" s="884"/>
      <c r="R83" s="884"/>
      <c r="S83" s="884"/>
      <c r="T83" s="772" t="s">
        <v>2287</v>
      </c>
      <c r="U83" s="772"/>
      <c r="V83" s="772"/>
      <c r="W83" s="772"/>
      <c r="X83" s="772"/>
      <c r="Y83" s="926"/>
      <c r="Z83" s="775"/>
      <c r="AA83" s="778"/>
      <c r="AB83" s="775"/>
      <c r="AC83" s="775"/>
      <c r="AD83" s="775"/>
    </row>
    <row r="84" spans="1:30" ht="54" customHeight="1">
      <c r="A84" s="774"/>
      <c r="B84" s="826">
        <v>67</v>
      </c>
      <c r="C84" s="772"/>
      <c r="D84" s="894"/>
      <c r="E84" s="772"/>
      <c r="F84" s="772"/>
      <c r="G84" s="772"/>
      <c r="H84" s="818"/>
      <c r="I84" s="930">
        <f t="shared" si="13"/>
        <v>0</v>
      </c>
      <c r="J84" s="930">
        <f t="shared" si="14"/>
        <v>0</v>
      </c>
      <c r="K84" s="930">
        <f t="shared" si="15"/>
        <v>0</v>
      </c>
      <c r="L84" s="773" t="str">
        <f t="shared" si="16"/>
        <v/>
      </c>
      <c r="M84" s="773" t="str">
        <f t="shared" si="17"/>
        <v/>
      </c>
      <c r="N84" s="773" t="str">
        <f t="shared" si="18"/>
        <v/>
      </c>
      <c r="O84" s="884" t="s">
        <v>2288</v>
      </c>
      <c r="P84" s="884"/>
      <c r="Q84" s="884"/>
      <c r="R84" s="884"/>
      <c r="S84" s="884"/>
      <c r="T84" s="772" t="s">
        <v>2289</v>
      </c>
      <c r="U84" s="772"/>
      <c r="V84" s="772"/>
      <c r="W84" s="772"/>
      <c r="X84" s="772"/>
      <c r="Y84" s="926"/>
      <c r="Z84" s="775"/>
      <c r="AA84" s="778"/>
      <c r="AB84" s="775"/>
      <c r="AC84" s="775"/>
      <c r="AD84" s="775"/>
    </row>
    <row r="85" spans="1:30" ht="9" customHeight="1">
      <c r="A85" s="774"/>
      <c r="B85" s="826">
        <v>68</v>
      </c>
      <c r="C85" s="772"/>
      <c r="D85" s="894"/>
      <c r="E85" s="772"/>
      <c r="F85" s="772"/>
      <c r="G85" s="772"/>
      <c r="H85" s="818"/>
      <c r="I85" s="930">
        <f t="shared" si="13"/>
        <v>0</v>
      </c>
      <c r="J85" s="930">
        <f t="shared" si="14"/>
        <v>0</v>
      </c>
      <c r="K85" s="930">
        <f t="shared" si="15"/>
        <v>0</v>
      </c>
      <c r="L85" s="773" t="str">
        <f t="shared" si="16"/>
        <v/>
      </c>
      <c r="M85" s="773" t="str">
        <f t="shared" si="17"/>
        <v/>
      </c>
      <c r="N85" s="773" t="str">
        <f t="shared" si="18"/>
        <v/>
      </c>
      <c r="O85" s="884" t="s">
        <v>2178</v>
      </c>
      <c r="P85" s="884"/>
      <c r="Q85" s="884"/>
      <c r="R85" s="884"/>
      <c r="S85" s="884"/>
      <c r="T85" s="772" t="s">
        <v>2290</v>
      </c>
      <c r="U85" s="772"/>
      <c r="V85" s="772"/>
      <c r="W85" s="772"/>
      <c r="X85" s="772"/>
      <c r="Y85" s="926"/>
      <c r="Z85" s="775"/>
      <c r="AA85" s="778"/>
      <c r="AB85" s="775"/>
      <c r="AC85" s="775"/>
      <c r="AD85" s="775"/>
    </row>
    <row r="86" spans="1:30" ht="27" customHeight="1">
      <c r="A86" s="774"/>
      <c r="B86" s="826">
        <v>69</v>
      </c>
      <c r="C86" s="772"/>
      <c r="D86" s="894"/>
      <c r="E86" s="772"/>
      <c r="F86" s="772"/>
      <c r="G86" s="772"/>
      <c r="H86" s="818"/>
      <c r="I86" s="930">
        <f t="shared" si="13"/>
        <v>0</v>
      </c>
      <c r="J86" s="930">
        <f t="shared" si="14"/>
        <v>0</v>
      </c>
      <c r="K86" s="930">
        <f t="shared" si="15"/>
        <v>0</v>
      </c>
      <c r="L86" s="773" t="str">
        <f t="shared" si="16"/>
        <v/>
      </c>
      <c r="M86" s="773" t="str">
        <f t="shared" si="17"/>
        <v/>
      </c>
      <c r="N86" s="773" t="str">
        <f t="shared" si="18"/>
        <v/>
      </c>
      <c r="O86" s="884" t="s">
        <v>2291</v>
      </c>
      <c r="P86" s="884"/>
      <c r="Q86" s="884"/>
      <c r="R86" s="884"/>
      <c r="S86" s="884"/>
      <c r="T86" s="772" t="s">
        <v>2292</v>
      </c>
      <c r="U86" s="772"/>
      <c r="V86" s="772"/>
      <c r="W86" s="772"/>
      <c r="X86" s="772"/>
      <c r="Y86" s="926"/>
      <c r="Z86" s="775"/>
      <c r="AA86" s="778"/>
      <c r="AB86" s="775"/>
      <c r="AC86" s="775"/>
      <c r="AD86" s="775"/>
    </row>
    <row r="87" spans="1:30" ht="36" customHeight="1">
      <c r="A87" s="774"/>
      <c r="B87" s="826">
        <v>70</v>
      </c>
      <c r="C87" s="772" t="s">
        <v>2293</v>
      </c>
      <c r="D87" s="894"/>
      <c r="E87" s="772"/>
      <c r="F87" s="772"/>
      <c r="G87" s="772"/>
      <c r="H87" s="818"/>
      <c r="I87" s="930">
        <f t="shared" si="13"/>
        <v>0</v>
      </c>
      <c r="J87" s="930">
        <f t="shared" si="14"/>
        <v>0</v>
      </c>
      <c r="K87" s="930">
        <f t="shared" si="15"/>
        <v>0</v>
      </c>
      <c r="L87" s="773" t="str">
        <f t="shared" si="16"/>
        <v/>
      </c>
      <c r="M87" s="773" t="str">
        <f t="shared" si="17"/>
        <v/>
      </c>
      <c r="N87" s="773" t="str">
        <f t="shared" si="18"/>
        <v/>
      </c>
      <c r="O87" s="884" t="s">
        <v>181</v>
      </c>
      <c r="P87" s="884"/>
      <c r="Q87" s="884"/>
      <c r="R87" s="884"/>
      <c r="S87" s="884"/>
      <c r="T87" s="772" t="s">
        <v>2294</v>
      </c>
      <c r="U87" s="772"/>
      <c r="V87" s="772"/>
      <c r="W87" s="772"/>
      <c r="X87" s="772"/>
      <c r="Y87" s="926"/>
      <c r="Z87" s="775"/>
      <c r="AA87" s="778"/>
      <c r="AB87" s="775"/>
      <c r="AC87" s="775"/>
      <c r="AD87" s="775"/>
    </row>
    <row r="88" spans="1:30" ht="18" customHeight="1">
      <c r="A88" s="774"/>
      <c r="B88" s="826">
        <v>71</v>
      </c>
      <c r="C88" s="772" t="s">
        <v>2295</v>
      </c>
      <c r="D88" s="894"/>
      <c r="E88" s="772"/>
      <c r="F88" s="772"/>
      <c r="G88" s="772"/>
      <c r="H88" s="818"/>
      <c r="I88" s="930">
        <f t="shared" si="13"/>
        <v>0</v>
      </c>
      <c r="J88" s="930">
        <f t="shared" si="14"/>
        <v>0</v>
      </c>
      <c r="K88" s="930">
        <f t="shared" si="15"/>
        <v>0</v>
      </c>
      <c r="L88" s="773" t="str">
        <f t="shared" si="16"/>
        <v/>
      </c>
      <c r="M88" s="773" t="str">
        <f t="shared" si="17"/>
        <v/>
      </c>
      <c r="N88" s="773" t="str">
        <f t="shared" si="18"/>
        <v/>
      </c>
      <c r="O88" s="884" t="s">
        <v>182</v>
      </c>
      <c r="P88" s="884"/>
      <c r="Q88" s="884"/>
      <c r="R88" s="884"/>
      <c r="S88" s="884"/>
      <c r="T88" s="772" t="s">
        <v>758</v>
      </c>
      <c r="U88" s="772"/>
      <c r="V88" s="772"/>
      <c r="W88" s="772"/>
      <c r="X88" s="772"/>
      <c r="Y88" s="926"/>
      <c r="Z88" s="775"/>
      <c r="AA88" s="778"/>
      <c r="AB88" s="775"/>
      <c r="AC88" s="775"/>
      <c r="AD88" s="775"/>
    </row>
    <row r="89" spans="1:30" ht="18" customHeight="1">
      <c r="A89" s="774"/>
      <c r="B89" s="826">
        <v>72</v>
      </c>
      <c r="C89" s="772" t="s">
        <v>2296</v>
      </c>
      <c r="D89" s="894" t="s">
        <v>2293</v>
      </c>
      <c r="E89" s="772" t="s">
        <v>2293</v>
      </c>
      <c r="F89" s="772" t="s">
        <v>2259</v>
      </c>
      <c r="G89" s="772"/>
      <c r="H89" s="818"/>
      <c r="I89" s="930" t="str">
        <f t="shared" si="13"/>
        <v>10</v>
      </c>
      <c r="J89" s="930" t="str">
        <f t="shared" si="14"/>
        <v>Среднесписочная численность основного производственного персонала</v>
      </c>
      <c r="K89" s="930">
        <f t="shared" si="15"/>
        <v>0</v>
      </c>
      <c r="L89" s="773" t="str">
        <f t="shared" si="16"/>
        <v>10</v>
      </c>
      <c r="M89" s="773" t="str">
        <f t="shared" si="17"/>
        <v>Среднесписочная численность основного производственного персонала</v>
      </c>
      <c r="N89" s="773" t="str">
        <f t="shared" si="18"/>
        <v/>
      </c>
      <c r="O89" s="884" t="s">
        <v>183</v>
      </c>
      <c r="P89" s="884" t="s">
        <v>182</v>
      </c>
      <c r="Q89" s="884" t="s">
        <v>182</v>
      </c>
      <c r="R89" s="884" t="s">
        <v>180</v>
      </c>
      <c r="S89" s="884"/>
      <c r="T89" s="772" t="s">
        <v>766</v>
      </c>
      <c r="U89" s="772" t="s">
        <v>766</v>
      </c>
      <c r="V89" s="772" t="s">
        <v>766</v>
      </c>
      <c r="W89" s="772" t="s">
        <v>766</v>
      </c>
      <c r="X89" s="772"/>
      <c r="Y89" s="926"/>
      <c r="Z89" s="775"/>
      <c r="AA89" s="778"/>
      <c r="AB89" s="775"/>
      <c r="AC89" s="775"/>
      <c r="AD89" s="775"/>
    </row>
    <row r="90" spans="1:30" ht="27" customHeight="1">
      <c r="A90" s="774"/>
      <c r="B90" s="826">
        <v>73</v>
      </c>
      <c r="C90" s="772" t="s">
        <v>2297</v>
      </c>
      <c r="D90" s="894"/>
      <c r="E90" s="772"/>
      <c r="F90" s="772"/>
      <c r="G90" s="772"/>
      <c r="H90" s="818"/>
      <c r="I90" s="930">
        <f t="shared" si="13"/>
        <v>0</v>
      </c>
      <c r="J90" s="930">
        <f t="shared" si="14"/>
        <v>0</v>
      </c>
      <c r="K90" s="930">
        <f t="shared" si="15"/>
        <v>0</v>
      </c>
      <c r="L90" s="773" t="str">
        <f t="shared" si="16"/>
        <v/>
      </c>
      <c r="M90" s="773" t="str">
        <f t="shared" si="17"/>
        <v/>
      </c>
      <c r="N90" s="773" t="str">
        <f t="shared" si="18"/>
        <v/>
      </c>
      <c r="O90" s="884" t="s">
        <v>184</v>
      </c>
      <c r="P90" s="884"/>
      <c r="Q90" s="884"/>
      <c r="R90" s="884"/>
      <c r="S90" s="884"/>
      <c r="T90" s="772" t="s">
        <v>768</v>
      </c>
      <c r="U90" s="772"/>
      <c r="V90" s="772"/>
      <c r="W90" s="772"/>
      <c r="X90" s="772"/>
      <c r="Y90" s="926"/>
      <c r="Z90" s="775"/>
      <c r="AA90" s="778"/>
      <c r="AB90" s="775"/>
      <c r="AC90" s="775"/>
      <c r="AD90" s="775"/>
    </row>
    <row r="91" spans="1:30" ht="18" customHeight="1">
      <c r="A91" s="774"/>
      <c r="B91" s="826">
        <v>74</v>
      </c>
      <c r="C91" s="772"/>
      <c r="D91" s="894" t="s">
        <v>2295</v>
      </c>
      <c r="E91" s="772" t="s">
        <v>2295</v>
      </c>
      <c r="F91" s="772"/>
      <c r="G91" s="772"/>
      <c r="H91" s="818"/>
      <c r="I91" s="930">
        <f t="shared" si="13"/>
        <v>0</v>
      </c>
      <c r="J91" s="930">
        <f t="shared" si="14"/>
        <v>0</v>
      </c>
      <c r="K91" s="930">
        <f t="shared" si="15"/>
        <v>0</v>
      </c>
      <c r="L91" s="773" t="str">
        <f t="shared" si="16"/>
        <v/>
      </c>
      <c r="M91" s="773" t="str">
        <f t="shared" si="17"/>
        <v/>
      </c>
      <c r="N91" s="773" t="str">
        <f t="shared" si="18"/>
        <v/>
      </c>
      <c r="O91" s="884"/>
      <c r="P91" s="884" t="s">
        <v>183</v>
      </c>
      <c r="Q91" s="884" t="s">
        <v>183</v>
      </c>
      <c r="R91" s="884"/>
      <c r="S91" s="884"/>
      <c r="T91" s="772"/>
      <c r="U91" s="772" t="s">
        <v>2298</v>
      </c>
      <c r="V91" s="772" t="s">
        <v>2298</v>
      </c>
      <c r="W91" s="772"/>
      <c r="X91" s="772"/>
      <c r="Y91" s="926"/>
      <c r="Z91" s="775"/>
      <c r="AA91" s="778"/>
      <c r="AB91" s="775"/>
      <c r="AC91" s="775"/>
      <c r="AD91" s="775"/>
    </row>
    <row r="92" spans="1:30" ht="27" customHeight="1">
      <c r="A92" s="774"/>
      <c r="B92" s="826">
        <v>75</v>
      </c>
      <c r="C92" s="772"/>
      <c r="D92" s="894" t="s">
        <v>2296</v>
      </c>
      <c r="E92" s="772"/>
      <c r="F92" s="772"/>
      <c r="G92" s="772"/>
      <c r="H92" s="818"/>
      <c r="I92" s="930">
        <f t="shared" si="13"/>
        <v>0</v>
      </c>
      <c r="J92" s="930">
        <f t="shared" si="14"/>
        <v>0</v>
      </c>
      <c r="K92" s="930">
        <f t="shared" si="15"/>
        <v>0</v>
      </c>
      <c r="L92" s="773" t="str">
        <f t="shared" si="16"/>
        <v/>
      </c>
      <c r="M92" s="773" t="str">
        <f t="shared" si="17"/>
        <v/>
      </c>
      <c r="N92" s="773" t="str">
        <f t="shared" si="18"/>
        <v/>
      </c>
      <c r="O92" s="884"/>
      <c r="P92" s="884" t="s">
        <v>184</v>
      </c>
      <c r="Q92" s="884"/>
      <c r="R92" s="884"/>
      <c r="S92" s="884"/>
      <c r="T92" s="772"/>
      <c r="U92" s="772" t="s">
        <v>2299</v>
      </c>
      <c r="V92" s="772"/>
      <c r="W92" s="772"/>
      <c r="X92" s="772"/>
      <c r="Y92" s="926"/>
      <c r="Z92" s="775"/>
      <c r="AA92" s="778" t="s">
        <v>2300</v>
      </c>
      <c r="AB92" s="775"/>
      <c r="AC92" s="775"/>
      <c r="AD92" s="775"/>
    </row>
    <row r="93" spans="1:30" ht="27" customHeight="1">
      <c r="A93" s="774"/>
      <c r="B93" s="826">
        <v>76</v>
      </c>
      <c r="C93" s="772"/>
      <c r="D93" s="894"/>
      <c r="E93" s="772"/>
      <c r="F93" s="772"/>
      <c r="G93" s="772"/>
      <c r="H93" s="818"/>
      <c r="I93" s="930">
        <f t="shared" si="13"/>
        <v>0</v>
      </c>
      <c r="J93" s="930">
        <f t="shared" si="14"/>
        <v>0</v>
      </c>
      <c r="K93" s="930">
        <f t="shared" si="15"/>
        <v>0</v>
      </c>
      <c r="L93" s="773" t="str">
        <f t="shared" si="16"/>
        <v/>
      </c>
      <c r="M93" s="773" t="str">
        <f t="shared" si="17"/>
        <v/>
      </c>
      <c r="N93" s="773" t="str">
        <f t="shared" si="18"/>
        <v/>
      </c>
      <c r="O93" s="884"/>
      <c r="P93" s="884" t="s">
        <v>2206</v>
      </c>
      <c r="Q93" s="884"/>
      <c r="R93" s="884"/>
      <c r="S93" s="884"/>
      <c r="T93" s="772"/>
      <c r="U93" s="772" t="s">
        <v>2301</v>
      </c>
      <c r="V93" s="772"/>
      <c r="W93" s="772"/>
      <c r="X93" s="772"/>
      <c r="Y93" s="926"/>
      <c r="Z93" s="775"/>
      <c r="AA93" s="778" t="s">
        <v>2302</v>
      </c>
      <c r="AB93" s="775"/>
      <c r="AC93" s="775"/>
      <c r="AD93" s="775"/>
    </row>
    <row r="94" spans="1:30" ht="45" customHeight="1">
      <c r="A94" s="774"/>
      <c r="B94" s="826">
        <v>77</v>
      </c>
      <c r="C94" s="772"/>
      <c r="D94" s="894" t="s">
        <v>2297</v>
      </c>
      <c r="E94" s="772"/>
      <c r="F94" s="772"/>
      <c r="G94" s="772"/>
      <c r="H94" s="818"/>
      <c r="I94" s="930">
        <f t="shared" si="13"/>
        <v>0</v>
      </c>
      <c r="J94" s="930">
        <f t="shared" si="14"/>
        <v>0</v>
      </c>
      <c r="K94" s="930">
        <f t="shared" si="15"/>
        <v>0</v>
      </c>
      <c r="L94" s="773" t="str">
        <f t="shared" si="16"/>
        <v/>
      </c>
      <c r="M94" s="773" t="str">
        <f t="shared" si="17"/>
        <v/>
      </c>
      <c r="N94" s="773" t="str">
        <f t="shared" si="18"/>
        <v/>
      </c>
      <c r="O94" s="884"/>
      <c r="P94" s="884" t="s">
        <v>1561</v>
      </c>
      <c r="Q94" s="884"/>
      <c r="R94" s="884"/>
      <c r="S94" s="884"/>
      <c r="T94" s="772"/>
      <c r="U94" s="772" t="s">
        <v>2303</v>
      </c>
      <c r="V94" s="772"/>
      <c r="W94" s="772"/>
      <c r="X94" s="772"/>
      <c r="Y94" s="926"/>
      <c r="Z94" s="775"/>
      <c r="AA94" s="778" t="s">
        <v>2304</v>
      </c>
      <c r="AB94" s="775"/>
      <c r="AC94" s="775"/>
      <c r="AD94" s="775"/>
    </row>
    <row r="95" spans="1:30" ht="99" customHeight="1">
      <c r="A95" s="774"/>
      <c r="B95" s="826">
        <v>78</v>
      </c>
      <c r="C95" s="772" t="s">
        <v>2305</v>
      </c>
      <c r="D95" s="894"/>
      <c r="E95" s="772"/>
      <c r="F95" s="772"/>
      <c r="G95" s="772"/>
      <c r="H95" s="818"/>
      <c r="I95" s="930">
        <f t="shared" si="13"/>
        <v>0</v>
      </c>
      <c r="J95" s="930">
        <f t="shared" si="14"/>
        <v>0</v>
      </c>
      <c r="K95" s="930">
        <f t="shared" si="15"/>
        <v>0</v>
      </c>
      <c r="L95" s="773" t="str">
        <f t="shared" si="16"/>
        <v/>
      </c>
      <c r="M95" s="773" t="str">
        <f t="shared" si="17"/>
        <v/>
      </c>
      <c r="N95" s="773" t="str">
        <f t="shared" si="18"/>
        <v/>
      </c>
      <c r="O95" s="884" t="s">
        <v>1561</v>
      </c>
      <c r="P95" s="884"/>
      <c r="Q95" s="884"/>
      <c r="R95" s="884"/>
      <c r="S95" s="884"/>
      <c r="T95" s="772" t="s">
        <v>2306</v>
      </c>
      <c r="U95" s="772"/>
      <c r="V95" s="772"/>
      <c r="W95" s="772"/>
      <c r="X95" s="772"/>
      <c r="Y95" s="926"/>
      <c r="Z95" s="775"/>
      <c r="AA95" s="778"/>
      <c r="AB95" s="775"/>
      <c r="AC95" s="775"/>
      <c r="AD95" s="775"/>
    </row>
    <row r="96" spans="1:30" ht="99" customHeight="1">
      <c r="A96" s="774"/>
      <c r="B96" s="826">
        <v>79</v>
      </c>
      <c r="C96" s="772" t="s">
        <v>1239</v>
      </c>
      <c r="D96" s="894"/>
      <c r="E96" s="772"/>
      <c r="F96" s="772"/>
      <c r="G96" s="772"/>
      <c r="H96" s="818"/>
      <c r="I96" s="930">
        <f t="shared" si="13"/>
        <v>0</v>
      </c>
      <c r="J96" s="930">
        <f t="shared" si="14"/>
        <v>0</v>
      </c>
      <c r="K96" s="930">
        <f t="shared" si="15"/>
        <v>0</v>
      </c>
      <c r="L96" s="773" t="str">
        <f t="shared" si="16"/>
        <v/>
      </c>
      <c r="M96" s="773" t="str">
        <f t="shared" si="17"/>
        <v/>
      </c>
      <c r="N96" s="773" t="str">
        <f t="shared" si="18"/>
        <v/>
      </c>
      <c r="O96" s="884" t="s">
        <v>110</v>
      </c>
      <c r="P96" s="884"/>
      <c r="Q96" s="884"/>
      <c r="R96" s="884"/>
      <c r="S96" s="884"/>
      <c r="T96" s="772" t="s">
        <v>2307</v>
      </c>
      <c r="U96" s="772"/>
      <c r="V96" s="772"/>
      <c r="W96" s="772"/>
      <c r="X96" s="772"/>
      <c r="Y96" s="926"/>
      <c r="Z96" s="775" t="s">
        <v>2308</v>
      </c>
      <c r="AA96" s="778"/>
      <c r="AB96" s="775"/>
      <c r="AC96" s="775"/>
      <c r="AD96" s="775"/>
    </row>
    <row r="97" spans="1:30" ht="63" customHeight="1">
      <c r="A97" s="774"/>
      <c r="B97" s="826">
        <v>80</v>
      </c>
      <c r="C97" s="772" t="s">
        <v>2309</v>
      </c>
      <c r="D97" s="894"/>
      <c r="E97" s="772"/>
      <c r="F97" s="772"/>
      <c r="G97" s="772"/>
      <c r="H97" s="818"/>
      <c r="I97" s="930">
        <f t="shared" si="13"/>
        <v>0</v>
      </c>
      <c r="J97" s="930">
        <f t="shared" si="14"/>
        <v>0</v>
      </c>
      <c r="K97" s="930">
        <f t="shared" si="15"/>
        <v>0</v>
      </c>
      <c r="L97" s="773" t="str">
        <f t="shared" si="16"/>
        <v/>
      </c>
      <c r="M97" s="773" t="str">
        <f t="shared" si="17"/>
        <v/>
      </c>
      <c r="N97" s="773" t="str">
        <f t="shared" si="18"/>
        <v/>
      </c>
      <c r="O97" s="884" t="s">
        <v>1578</v>
      </c>
      <c r="P97" s="884"/>
      <c r="Q97" s="884"/>
      <c r="R97" s="884"/>
      <c r="S97" s="884"/>
      <c r="T97" s="772" t="s">
        <v>2310</v>
      </c>
      <c r="U97" s="772"/>
      <c r="V97" s="772"/>
      <c r="W97" s="772"/>
      <c r="X97" s="772"/>
      <c r="Y97" s="926"/>
      <c r="Z97" s="775" t="s">
        <v>2311</v>
      </c>
      <c r="AA97" s="778"/>
      <c r="AB97" s="775"/>
      <c r="AC97" s="775"/>
      <c r="AD97" s="775"/>
    </row>
    <row r="98" spans="1:30" ht="63" customHeight="1">
      <c r="A98" s="774"/>
      <c r="B98" s="826">
        <v>81</v>
      </c>
      <c r="C98" s="772" t="s">
        <v>2312</v>
      </c>
      <c r="D98" s="894"/>
      <c r="E98" s="772"/>
      <c r="F98" s="772"/>
      <c r="G98" s="772"/>
      <c r="H98" s="818"/>
      <c r="I98" s="930">
        <f t="shared" si="13"/>
        <v>0</v>
      </c>
      <c r="J98" s="930">
        <f t="shared" si="14"/>
        <v>0</v>
      </c>
      <c r="K98" s="930">
        <f t="shared" si="15"/>
        <v>0</v>
      </c>
      <c r="L98" s="773" t="str">
        <f t="shared" si="16"/>
        <v/>
      </c>
      <c r="M98" s="773" t="str">
        <f t="shared" si="17"/>
        <v/>
      </c>
      <c r="N98" s="773" t="str">
        <f t="shared" si="18"/>
        <v/>
      </c>
      <c r="O98" s="884" t="s">
        <v>1592</v>
      </c>
      <c r="P98" s="884"/>
      <c r="Q98" s="884"/>
      <c r="R98" s="884"/>
      <c r="S98" s="884"/>
      <c r="T98" s="772" t="s">
        <v>2313</v>
      </c>
      <c r="U98" s="772"/>
      <c r="V98" s="772"/>
      <c r="W98" s="772"/>
      <c r="X98" s="772"/>
      <c r="Y98" s="926"/>
      <c r="Z98" s="775" t="s">
        <v>2311</v>
      </c>
      <c r="AA98" s="778"/>
      <c r="AB98" s="775"/>
      <c r="AC98" s="775"/>
      <c r="AD98" s="775"/>
    </row>
    <row r="99" spans="1:30" ht="90" customHeight="1">
      <c r="A99" s="774"/>
      <c r="B99" s="826">
        <v>82</v>
      </c>
      <c r="C99" s="772" t="s">
        <v>2314</v>
      </c>
      <c r="D99" s="894"/>
      <c r="E99" s="772"/>
      <c r="F99" s="772"/>
      <c r="G99" s="772"/>
      <c r="H99" s="818"/>
      <c r="I99" s="930">
        <f t="shared" si="13"/>
        <v>0</v>
      </c>
      <c r="J99" s="930">
        <f t="shared" si="14"/>
        <v>0</v>
      </c>
      <c r="K99" s="930">
        <f t="shared" si="15"/>
        <v>0</v>
      </c>
      <c r="L99" s="773" t="str">
        <f t="shared" si="16"/>
        <v/>
      </c>
      <c r="M99" s="773" t="str">
        <f t="shared" si="17"/>
        <v/>
      </c>
      <c r="N99" s="773" t="str">
        <f t="shared" si="18"/>
        <v/>
      </c>
      <c r="O99" s="884" t="s">
        <v>1604</v>
      </c>
      <c r="P99" s="884"/>
      <c r="Q99" s="884"/>
      <c r="R99" s="884"/>
      <c r="S99" s="884"/>
      <c r="T99" s="772" t="s">
        <v>2315</v>
      </c>
      <c r="U99" s="772"/>
      <c r="V99" s="772"/>
      <c r="W99" s="772"/>
      <c r="X99" s="772"/>
      <c r="Y99" s="926"/>
      <c r="Z99" s="775" t="s">
        <v>723</v>
      </c>
      <c r="AA99" s="778"/>
      <c r="AB99" s="775"/>
      <c r="AC99" s="775"/>
      <c r="AD99" s="775"/>
    </row>
    <row r="100" spans="1:30" ht="27" customHeight="1">
      <c r="A100" s="774"/>
      <c r="B100" s="826">
        <v>83</v>
      </c>
      <c r="C100" s="772"/>
      <c r="D100" s="894"/>
      <c r="E100" s="772"/>
      <c r="F100" s="772"/>
      <c r="G100" s="772"/>
      <c r="H100" s="818"/>
      <c r="I100" s="930">
        <f t="shared" si="13"/>
        <v>0</v>
      </c>
      <c r="J100" s="930">
        <f t="shared" si="14"/>
        <v>0</v>
      </c>
      <c r="K100" s="930">
        <f t="shared" si="15"/>
        <v>0</v>
      </c>
      <c r="L100" s="773" t="str">
        <f t="shared" si="16"/>
        <v/>
      </c>
      <c r="M100" s="773" t="str">
        <f t="shared" si="17"/>
        <v/>
      </c>
      <c r="N100" s="773" t="str">
        <f t="shared" si="18"/>
        <v/>
      </c>
      <c r="O100" s="884" t="s">
        <v>2316</v>
      </c>
      <c r="P100" s="884"/>
      <c r="Q100" s="884"/>
      <c r="R100" s="884"/>
      <c r="S100" s="884"/>
      <c r="T100" s="772" t="s">
        <v>2317</v>
      </c>
      <c r="U100" s="772"/>
      <c r="V100" s="772"/>
      <c r="W100" s="772"/>
      <c r="X100" s="772"/>
      <c r="Y100" s="926"/>
      <c r="Z100" s="775" t="s">
        <v>723</v>
      </c>
      <c r="AA100" s="778"/>
      <c r="AB100" s="775"/>
      <c r="AC100" s="775"/>
      <c r="AD100" s="775"/>
    </row>
    <row r="101" spans="1:30" ht="27" customHeight="1">
      <c r="A101" s="774"/>
      <c r="B101" s="826">
        <v>84</v>
      </c>
      <c r="C101" s="772"/>
      <c r="D101" s="894"/>
      <c r="E101" s="772"/>
      <c r="F101" s="772"/>
      <c r="G101" s="772"/>
      <c r="H101" s="818"/>
      <c r="I101" s="930">
        <f t="shared" si="13"/>
        <v>0</v>
      </c>
      <c r="J101" s="930">
        <f t="shared" si="14"/>
        <v>0</v>
      </c>
      <c r="K101" s="930">
        <f t="shared" si="15"/>
        <v>0</v>
      </c>
      <c r="L101" s="773" t="str">
        <f t="shared" si="16"/>
        <v/>
      </c>
      <c r="M101" s="773" t="str">
        <f t="shared" si="17"/>
        <v/>
      </c>
      <c r="N101" s="773" t="str">
        <f t="shared" si="18"/>
        <v/>
      </c>
      <c r="O101" s="884" t="s">
        <v>2318</v>
      </c>
      <c r="P101" s="884"/>
      <c r="Q101" s="884"/>
      <c r="R101" s="884"/>
      <c r="S101" s="884"/>
      <c r="T101" s="772" t="s">
        <v>2319</v>
      </c>
      <c r="U101" s="772"/>
      <c r="V101" s="772"/>
      <c r="W101" s="772"/>
      <c r="X101" s="772"/>
      <c r="Y101" s="926"/>
      <c r="Z101" s="775" t="s">
        <v>723</v>
      </c>
      <c r="AA101" s="778"/>
      <c r="AB101" s="775"/>
      <c r="AC101" s="775"/>
      <c r="AD101" s="775"/>
    </row>
    <row r="102" spans="1:30" ht="9" customHeight="1">
      <c r="A102" s="774"/>
      <c r="B102" s="774"/>
      <c r="C102" s="772"/>
      <c r="D102" s="772"/>
      <c r="E102" s="772"/>
      <c r="F102" s="772"/>
      <c r="G102" s="772"/>
      <c r="H102" s="818"/>
      <c r="I102" s="818"/>
      <c r="J102" s="818"/>
      <c r="K102" s="818"/>
      <c r="L102" s="818"/>
      <c r="M102" s="772"/>
      <c r="N102" s="817"/>
      <c r="O102" s="884"/>
      <c r="P102" s="884"/>
      <c r="Q102" s="884"/>
      <c r="R102" s="884"/>
      <c r="S102" s="772"/>
      <c r="T102" s="772"/>
      <c r="U102" s="772"/>
      <c r="V102" s="772"/>
      <c r="W102" s="772"/>
      <c r="X102" s="772"/>
      <c r="Y102" s="926"/>
      <c r="Z102" s="775"/>
      <c r="AA102" s="778"/>
      <c r="AB102" s="775"/>
      <c r="AC102" s="775"/>
      <c r="AD102" s="775"/>
    </row>
    <row r="103" spans="1:30" ht="9" customHeight="1">
      <c r="A103" s="774"/>
      <c r="B103" s="774"/>
      <c r="C103" s="772"/>
      <c r="D103" s="772"/>
      <c r="E103" s="772"/>
      <c r="F103" s="772"/>
      <c r="G103" s="772"/>
      <c r="H103" s="818"/>
      <c r="I103" s="818"/>
      <c r="J103" s="818"/>
      <c r="K103" s="818"/>
      <c r="L103" s="818"/>
      <c r="M103" s="772"/>
      <c r="N103" s="817"/>
      <c r="O103" s="884"/>
      <c r="P103" s="884"/>
      <c r="Q103" s="884"/>
      <c r="R103" s="884"/>
      <c r="S103" s="772"/>
      <c r="T103" s="772"/>
      <c r="U103" s="772"/>
      <c r="V103" s="772"/>
      <c r="W103" s="772"/>
      <c r="X103" s="772"/>
      <c r="Y103" s="926"/>
      <c r="Z103" s="775"/>
      <c r="AA103" s="778"/>
      <c r="AB103" s="775"/>
      <c r="AC103" s="775"/>
      <c r="AD103" s="775"/>
    </row>
    <row r="104" spans="1:30" ht="9" customHeight="1">
      <c r="A104" s="774"/>
      <c r="B104" s="774"/>
      <c r="C104" s="772"/>
      <c r="D104" s="772"/>
      <c r="E104" s="772"/>
      <c r="F104" s="772"/>
      <c r="G104" s="772"/>
      <c r="H104" s="818"/>
      <c r="I104" s="818"/>
      <c r="J104" s="818"/>
      <c r="K104" s="818"/>
      <c r="L104" s="818"/>
      <c r="M104" s="772"/>
      <c r="N104" s="817"/>
      <c r="O104" s="884"/>
      <c r="P104" s="884"/>
      <c r="Q104" s="884"/>
      <c r="R104" s="884"/>
      <c r="S104" s="772"/>
      <c r="T104" s="772"/>
      <c r="U104" s="772"/>
      <c r="V104" s="772"/>
      <c r="W104" s="772"/>
      <c r="X104" s="772"/>
      <c r="Y104" s="926"/>
      <c r="Z104" s="775"/>
      <c r="AA104" s="778"/>
      <c r="AB104" s="775"/>
      <c r="AC104" s="775"/>
      <c r="AD104" s="775"/>
    </row>
    <row r="105" spans="1:30" ht="9" customHeight="1">
      <c r="A105" s="774"/>
      <c r="B105" s="774"/>
      <c r="C105" s="772"/>
      <c r="D105" s="772"/>
      <c r="E105" s="772"/>
      <c r="F105" s="772"/>
      <c r="G105" s="772"/>
      <c r="H105" s="818"/>
      <c r="I105" s="818"/>
      <c r="J105" s="818"/>
      <c r="K105" s="818"/>
      <c r="L105" s="818"/>
      <c r="M105" s="772"/>
      <c r="N105" s="817"/>
      <c r="O105" s="884"/>
      <c r="P105" s="884"/>
      <c r="Q105" s="884"/>
      <c r="R105" s="884"/>
      <c r="S105" s="772"/>
      <c r="T105" s="772"/>
      <c r="U105" s="772"/>
      <c r="V105" s="772"/>
      <c r="W105" s="772"/>
      <c r="X105" s="772"/>
      <c r="Y105" s="926"/>
      <c r="Z105" s="775"/>
      <c r="AA105" s="778"/>
      <c r="AB105" s="775"/>
      <c r="AC105" s="775"/>
      <c r="AD105" s="775"/>
    </row>
    <row r="106" spans="1:30" ht="9" customHeight="1">
      <c r="A106" s="774"/>
      <c r="B106" s="774"/>
      <c r="C106" s="772"/>
      <c r="D106" s="772"/>
      <c r="E106" s="772"/>
      <c r="F106" s="772"/>
      <c r="G106" s="772"/>
      <c r="H106" s="818"/>
      <c r="I106" s="818"/>
      <c r="J106" s="818"/>
      <c r="K106" s="818"/>
      <c r="L106" s="818"/>
      <c r="M106" s="772"/>
      <c r="N106" s="817"/>
      <c r="O106" s="884"/>
      <c r="P106" s="884"/>
      <c r="Q106" s="884"/>
      <c r="R106" s="884"/>
      <c r="S106" s="772"/>
      <c r="T106" s="772"/>
      <c r="U106" s="772"/>
      <c r="V106" s="772"/>
      <c r="W106" s="772"/>
      <c r="X106" s="772"/>
      <c r="Y106" s="926"/>
      <c r="Z106" s="775"/>
      <c r="AA106" s="778"/>
      <c r="AB106" s="775"/>
      <c r="AC106" s="775"/>
      <c r="AD106" s="775"/>
    </row>
    <row r="107" spans="1:30" ht="9" customHeight="1">
      <c r="A107" s="774"/>
      <c r="B107" s="774"/>
      <c r="C107" s="772"/>
      <c r="D107" s="772"/>
      <c r="E107" s="772"/>
      <c r="F107" s="772"/>
      <c r="G107" s="772"/>
      <c r="H107" s="818"/>
      <c r="I107" s="818"/>
      <c r="J107" s="818"/>
      <c r="K107" s="818"/>
      <c r="L107" s="818"/>
      <c r="M107" s="772"/>
      <c r="N107" s="817"/>
      <c r="O107" s="884"/>
      <c r="P107" s="884"/>
      <c r="Q107" s="884"/>
      <c r="R107" s="884"/>
      <c r="S107" s="772"/>
      <c r="T107" s="772"/>
      <c r="U107" s="772"/>
      <c r="V107" s="772"/>
      <c r="W107" s="772"/>
      <c r="X107" s="772"/>
      <c r="Y107" s="926"/>
      <c r="Z107" s="775"/>
      <c r="AA107" s="778"/>
      <c r="AB107" s="775"/>
      <c r="AC107" s="775"/>
      <c r="AD107" s="775"/>
    </row>
    <row r="108" spans="1:30" ht="9" customHeight="1">
      <c r="A108" s="774"/>
      <c r="B108" s="774"/>
      <c r="C108" s="772"/>
      <c r="D108" s="772"/>
      <c r="E108" s="772"/>
      <c r="F108" s="772"/>
      <c r="G108" s="772"/>
      <c r="H108" s="818"/>
      <c r="I108" s="818"/>
      <c r="J108" s="818"/>
      <c r="K108" s="818"/>
      <c r="L108" s="818"/>
      <c r="M108" s="772"/>
      <c r="N108" s="817"/>
      <c r="O108" s="884"/>
      <c r="P108" s="884"/>
      <c r="Q108" s="884"/>
      <c r="R108" s="884"/>
      <c r="S108" s="772"/>
      <c r="T108" s="772"/>
      <c r="U108" s="772"/>
      <c r="V108" s="772"/>
      <c r="W108" s="772"/>
      <c r="X108" s="772"/>
      <c r="Y108" s="926"/>
      <c r="Z108" s="775"/>
      <c r="AA108" s="778"/>
      <c r="AB108" s="775"/>
      <c r="AC108" s="775"/>
      <c r="AD108" s="775"/>
    </row>
    <row r="109" spans="1:30" ht="9" customHeight="1">
      <c r="A109" s="774"/>
      <c r="B109" s="774"/>
      <c r="C109" s="772"/>
      <c r="D109" s="772"/>
      <c r="E109" s="772"/>
      <c r="F109" s="772"/>
      <c r="G109" s="772"/>
      <c r="H109" s="818"/>
      <c r="I109" s="818"/>
      <c r="J109" s="818"/>
      <c r="K109" s="818"/>
      <c r="L109" s="818"/>
      <c r="M109" s="772"/>
      <c r="N109" s="817"/>
      <c r="O109" s="884"/>
      <c r="P109" s="884"/>
      <c r="Q109" s="884"/>
      <c r="R109" s="884"/>
      <c r="S109" s="772"/>
      <c r="T109" s="772"/>
      <c r="U109" s="772"/>
      <c r="V109" s="772"/>
      <c r="W109" s="772"/>
      <c r="X109" s="772"/>
      <c r="Y109" s="926"/>
      <c r="Z109" s="775"/>
      <c r="AA109" s="778"/>
      <c r="AB109" s="775"/>
      <c r="AC109" s="775"/>
      <c r="AD109" s="775"/>
    </row>
    <row r="110" spans="1:30" ht="9" customHeight="1">
      <c r="A110" s="774"/>
      <c r="B110" s="774"/>
      <c r="C110" s="772"/>
      <c r="D110" s="772"/>
      <c r="E110" s="772"/>
      <c r="F110" s="772"/>
      <c r="G110" s="772"/>
      <c r="H110" s="818"/>
      <c r="I110" s="818"/>
      <c r="J110" s="818"/>
      <c r="K110" s="818"/>
      <c r="L110" s="818"/>
      <c r="M110" s="772"/>
      <c r="N110" s="817"/>
      <c r="O110" s="884"/>
      <c r="P110" s="884"/>
      <c r="Q110" s="884"/>
      <c r="R110" s="884"/>
      <c r="S110" s="772"/>
      <c r="T110" s="772"/>
      <c r="U110" s="772"/>
      <c r="V110" s="772"/>
      <c r="W110" s="772"/>
      <c r="X110" s="772"/>
      <c r="Y110" s="926"/>
      <c r="Z110" s="775"/>
      <c r="AA110" s="778"/>
      <c r="AB110" s="775"/>
      <c r="AC110" s="775"/>
      <c r="AD110" s="775"/>
    </row>
    <row r="111" spans="1:30" ht="9" customHeight="1">
      <c r="A111" s="774"/>
      <c r="B111" s="774"/>
      <c r="C111" s="772"/>
      <c r="D111" s="772"/>
      <c r="E111" s="772"/>
      <c r="F111" s="772"/>
      <c r="G111" s="772"/>
      <c r="H111" s="818"/>
      <c r="I111" s="818"/>
      <c r="J111" s="818"/>
      <c r="K111" s="818"/>
      <c r="L111" s="818"/>
      <c r="M111" s="772"/>
      <c r="N111" s="817"/>
      <c r="O111" s="884"/>
      <c r="P111" s="884"/>
      <c r="Q111" s="884"/>
      <c r="R111" s="884"/>
      <c r="S111" s="772"/>
      <c r="T111" s="772"/>
      <c r="U111" s="772"/>
      <c r="V111" s="772"/>
      <c r="W111" s="772"/>
      <c r="X111" s="772"/>
      <c r="Y111" s="926"/>
      <c r="Z111" s="775"/>
      <c r="AA111" s="778"/>
      <c r="AB111" s="775"/>
      <c r="AC111" s="775"/>
      <c r="AD111" s="775"/>
    </row>
    <row r="112" spans="1:30" ht="9" customHeight="1">
      <c r="A112" s="774"/>
      <c r="B112" s="774"/>
      <c r="C112" s="772"/>
      <c r="D112" s="772"/>
      <c r="E112" s="772"/>
      <c r="F112" s="772"/>
      <c r="G112" s="772"/>
      <c r="H112" s="818"/>
      <c r="I112" s="818"/>
      <c r="J112" s="818"/>
      <c r="K112" s="818"/>
      <c r="L112" s="818"/>
      <c r="M112" s="772"/>
      <c r="N112" s="817"/>
      <c r="O112" s="884"/>
      <c r="P112" s="884"/>
      <c r="Q112" s="884"/>
      <c r="R112" s="884"/>
      <c r="S112" s="772"/>
      <c r="T112" s="772"/>
      <c r="U112" s="772"/>
      <c r="V112" s="772"/>
      <c r="W112" s="772"/>
      <c r="X112" s="772"/>
      <c r="Y112" s="926"/>
      <c r="Z112" s="775"/>
      <c r="AA112" s="778"/>
      <c r="AB112" s="775"/>
      <c r="AC112" s="775"/>
      <c r="AD112" s="775"/>
    </row>
    <row r="113" spans="1:30" ht="9" customHeight="1">
      <c r="A113" s="774"/>
      <c r="B113" s="774"/>
      <c r="C113" s="772"/>
      <c r="D113" s="772"/>
      <c r="E113" s="772"/>
      <c r="F113" s="772"/>
      <c r="G113" s="772"/>
      <c r="H113" s="818"/>
      <c r="I113" s="818"/>
      <c r="J113" s="818"/>
      <c r="K113" s="818"/>
      <c r="L113" s="818"/>
      <c r="M113" s="772"/>
      <c r="N113" s="817"/>
      <c r="O113" s="884"/>
      <c r="P113" s="884"/>
      <c r="Q113" s="884"/>
      <c r="R113" s="884"/>
      <c r="S113" s="772"/>
      <c r="T113" s="772"/>
      <c r="U113" s="772"/>
      <c r="V113" s="772"/>
      <c r="W113" s="772"/>
      <c r="X113" s="772"/>
      <c r="Y113" s="926"/>
      <c r="Z113" s="775"/>
      <c r="AA113" s="778"/>
      <c r="AB113" s="775"/>
      <c r="AC113" s="775"/>
      <c r="AD113" s="775"/>
    </row>
    <row r="114" spans="1:30" ht="9" customHeight="1">
      <c r="A114" s="774"/>
      <c r="B114" s="774"/>
      <c r="C114" s="772"/>
      <c r="D114" s="772"/>
      <c r="E114" s="772"/>
      <c r="F114" s="772"/>
      <c r="G114" s="772"/>
      <c r="H114" s="818"/>
      <c r="I114" s="818"/>
      <c r="J114" s="818"/>
      <c r="K114" s="818"/>
      <c r="L114" s="818"/>
      <c r="M114" s="772"/>
      <c r="N114" s="817"/>
      <c r="O114" s="884"/>
      <c r="P114" s="884"/>
      <c r="Q114" s="884"/>
      <c r="R114" s="884"/>
      <c r="S114" s="772"/>
      <c r="T114" s="772"/>
      <c r="U114" s="772"/>
      <c r="V114" s="772"/>
      <c r="W114" s="772"/>
      <c r="X114" s="772"/>
      <c r="Y114" s="926"/>
      <c r="Z114" s="775"/>
      <c r="AA114" s="778"/>
      <c r="AB114" s="775"/>
      <c r="AC114" s="775"/>
      <c r="AD114" s="775"/>
    </row>
    <row r="115" spans="1:30" ht="9" customHeight="1">
      <c r="A115" s="774"/>
      <c r="B115" s="774"/>
      <c r="C115" s="772"/>
      <c r="D115" s="772"/>
      <c r="E115" s="772"/>
      <c r="F115" s="772"/>
      <c r="G115" s="772"/>
      <c r="H115" s="818"/>
      <c r="I115" s="818"/>
      <c r="J115" s="818"/>
      <c r="K115" s="818"/>
      <c r="L115" s="818"/>
      <c r="M115" s="772"/>
      <c r="N115" s="817"/>
      <c r="O115" s="884"/>
      <c r="P115" s="884"/>
      <c r="Q115" s="884"/>
      <c r="R115" s="884"/>
      <c r="S115" s="772"/>
      <c r="T115" s="772"/>
      <c r="U115" s="772"/>
      <c r="V115" s="772"/>
      <c r="W115" s="772"/>
      <c r="X115" s="772"/>
      <c r="Y115" s="926"/>
      <c r="Z115" s="775"/>
      <c r="AA115" s="778"/>
      <c r="AB115" s="775"/>
      <c r="AC115" s="775"/>
      <c r="AD115" s="775"/>
    </row>
    <row r="116" spans="1:30" ht="9" customHeight="1">
      <c r="A116" s="774"/>
      <c r="B116" s="774"/>
      <c r="C116" s="772"/>
      <c r="D116" s="772"/>
      <c r="E116" s="772"/>
      <c r="F116" s="772"/>
      <c r="G116" s="772"/>
      <c r="H116" s="818"/>
      <c r="I116" s="818"/>
      <c r="J116" s="818"/>
      <c r="K116" s="818"/>
      <c r="L116" s="818"/>
      <c r="M116" s="772"/>
      <c r="N116" s="817"/>
      <c r="O116" s="884"/>
      <c r="P116" s="884"/>
      <c r="Q116" s="884"/>
      <c r="R116" s="884"/>
      <c r="S116" s="772"/>
      <c r="T116" s="772"/>
      <c r="U116" s="772"/>
      <c r="V116" s="772"/>
      <c r="W116" s="772"/>
      <c r="X116" s="772"/>
      <c r="Y116" s="926"/>
      <c r="Z116" s="775"/>
      <c r="AA116" s="778"/>
      <c r="AB116" s="775"/>
      <c r="AC116" s="775"/>
      <c r="AD116" s="775"/>
    </row>
    <row r="117" spans="1:30" ht="9" customHeight="1">
      <c r="A117" s="774"/>
      <c r="B117" s="774"/>
      <c r="C117" s="772"/>
      <c r="D117" s="772"/>
      <c r="E117" s="772"/>
      <c r="F117" s="772"/>
      <c r="G117" s="772"/>
      <c r="H117" s="818"/>
      <c r="I117" s="818"/>
      <c r="J117" s="818"/>
      <c r="K117" s="818"/>
      <c r="L117" s="818"/>
      <c r="M117" s="772"/>
      <c r="N117" s="817"/>
      <c r="O117" s="884"/>
      <c r="P117" s="884"/>
      <c r="Q117" s="884"/>
      <c r="R117" s="884"/>
      <c r="S117" s="772"/>
      <c r="T117" s="772"/>
      <c r="U117" s="772"/>
      <c r="V117" s="772"/>
      <c r="W117" s="772"/>
      <c r="X117" s="772"/>
      <c r="Y117" s="926"/>
      <c r="Z117" s="775"/>
      <c r="AA117" s="778"/>
      <c r="AB117" s="775"/>
      <c r="AC117" s="775"/>
      <c r="AD117" s="775"/>
    </row>
    <row r="118" spans="1:30" ht="9" customHeight="1">
      <c r="A118" s="774"/>
      <c r="B118" s="774"/>
      <c r="C118" s="772"/>
      <c r="D118" s="772"/>
      <c r="E118" s="772"/>
      <c r="F118" s="772"/>
      <c r="G118" s="772"/>
      <c r="H118" s="818"/>
      <c r="I118" s="818"/>
      <c r="J118" s="818"/>
      <c r="K118" s="818"/>
      <c r="L118" s="818"/>
      <c r="M118" s="772"/>
      <c r="N118" s="817"/>
      <c r="O118" s="884"/>
      <c r="P118" s="884"/>
      <c r="Q118" s="884"/>
      <c r="R118" s="884"/>
      <c r="S118" s="772"/>
      <c r="T118" s="772"/>
      <c r="U118" s="772"/>
      <c r="V118" s="772"/>
      <c r="W118" s="772"/>
      <c r="X118" s="772"/>
      <c r="Y118" s="926"/>
      <c r="Z118" s="775"/>
      <c r="AA118" s="778"/>
      <c r="AB118" s="775"/>
      <c r="AC118" s="775"/>
      <c r="AD118" s="775"/>
    </row>
    <row r="119" spans="1:30" ht="9" customHeight="1">
      <c r="A119" s="774"/>
      <c r="B119" s="774"/>
      <c r="C119" s="772"/>
      <c r="D119" s="772"/>
      <c r="E119" s="772"/>
      <c r="F119" s="772"/>
      <c r="G119" s="772"/>
      <c r="H119" s="818"/>
      <c r="I119" s="818"/>
      <c r="J119" s="818"/>
      <c r="K119" s="818"/>
      <c r="L119" s="818"/>
      <c r="M119" s="772"/>
      <c r="N119" s="817"/>
      <c r="O119" s="884"/>
      <c r="P119" s="884"/>
      <c r="Q119" s="884"/>
      <c r="R119" s="884"/>
      <c r="S119" s="772"/>
      <c r="T119" s="772"/>
      <c r="U119" s="772"/>
      <c r="V119" s="772"/>
      <c r="W119" s="772"/>
      <c r="X119" s="772"/>
      <c r="Y119" s="926"/>
      <c r="Z119" s="775"/>
      <c r="AA119" s="778"/>
      <c r="AB119" s="775"/>
      <c r="AC119" s="775"/>
      <c r="AD119" s="775"/>
    </row>
    <row r="120" spans="1:30" ht="9" customHeight="1">
      <c r="A120" s="774"/>
      <c r="B120" s="774"/>
      <c r="C120" s="772"/>
      <c r="D120" s="772"/>
      <c r="E120" s="772"/>
      <c r="F120" s="772"/>
      <c r="G120" s="772"/>
      <c r="H120" s="818"/>
      <c r="I120" s="818"/>
      <c r="J120" s="818"/>
      <c r="K120" s="818"/>
      <c r="L120" s="818"/>
      <c r="M120" s="772"/>
      <c r="N120" s="817"/>
      <c r="O120" s="884"/>
      <c r="P120" s="884"/>
      <c r="Q120" s="884"/>
      <c r="R120" s="884"/>
      <c r="S120" s="772"/>
      <c r="T120" s="772"/>
      <c r="U120" s="772"/>
      <c r="V120" s="772"/>
      <c r="W120" s="772"/>
      <c r="X120" s="772"/>
      <c r="Y120" s="926"/>
      <c r="Z120" s="775"/>
      <c r="AA120" s="778"/>
      <c r="AB120" s="775"/>
      <c r="AC120" s="775"/>
      <c r="AD120" s="775"/>
    </row>
    <row r="121" spans="1:30" ht="9" customHeight="1">
      <c r="A121" s="774"/>
      <c r="B121" s="774"/>
      <c r="C121" s="772"/>
      <c r="D121" s="772"/>
      <c r="E121" s="772"/>
      <c r="F121" s="772"/>
      <c r="G121" s="772"/>
      <c r="H121" s="818"/>
      <c r="I121" s="818"/>
      <c r="J121" s="818"/>
      <c r="K121" s="818"/>
      <c r="L121" s="818"/>
      <c r="M121" s="772"/>
      <c r="N121" s="817"/>
      <c r="O121" s="884"/>
      <c r="P121" s="884"/>
      <c r="Q121" s="884"/>
      <c r="R121" s="884"/>
      <c r="S121" s="772"/>
      <c r="T121" s="772"/>
      <c r="U121" s="772"/>
      <c r="V121" s="772"/>
      <c r="W121" s="772"/>
      <c r="X121" s="772"/>
      <c r="Y121" s="926"/>
      <c r="Z121" s="775"/>
      <c r="AA121" s="778"/>
      <c r="AB121" s="775"/>
      <c r="AC121" s="775"/>
      <c r="AD121" s="775"/>
    </row>
    <row r="122" spans="1:30" ht="9" customHeight="1">
      <c r="A122" s="774"/>
      <c r="B122" s="774"/>
      <c r="C122" s="772"/>
      <c r="D122" s="772"/>
      <c r="E122" s="772"/>
      <c r="F122" s="772"/>
      <c r="G122" s="772"/>
      <c r="H122" s="818"/>
      <c r="I122" s="818"/>
      <c r="J122" s="818"/>
      <c r="K122" s="818"/>
      <c r="L122" s="818"/>
      <c r="M122" s="772"/>
      <c r="N122" s="817"/>
      <c r="O122" s="884"/>
      <c r="P122" s="884"/>
      <c r="Q122" s="884"/>
      <c r="R122" s="884"/>
      <c r="S122" s="772"/>
      <c r="T122" s="772"/>
      <c r="U122" s="772"/>
      <c r="V122" s="772"/>
      <c r="W122" s="772"/>
      <c r="X122" s="772"/>
      <c r="Y122" s="926"/>
      <c r="Z122" s="775"/>
      <c r="AA122" s="778"/>
      <c r="AB122" s="775"/>
      <c r="AC122" s="775"/>
      <c r="AD122" s="775"/>
    </row>
    <row r="123" spans="1:30" ht="9" customHeight="1">
      <c r="A123" s="774"/>
      <c r="B123" s="774"/>
      <c r="C123" s="772"/>
      <c r="D123" s="772"/>
      <c r="E123" s="772"/>
      <c r="F123" s="772"/>
      <c r="G123" s="772"/>
      <c r="H123" s="818"/>
      <c r="I123" s="818"/>
      <c r="J123" s="818"/>
      <c r="K123" s="818"/>
      <c r="L123" s="818"/>
      <c r="M123" s="772"/>
      <c r="N123" s="817"/>
      <c r="O123" s="884"/>
      <c r="P123" s="884"/>
      <c r="Q123" s="884"/>
      <c r="R123" s="884"/>
      <c r="S123" s="772"/>
      <c r="T123" s="772"/>
      <c r="U123" s="772"/>
      <c r="V123" s="772"/>
      <c r="W123" s="772"/>
      <c r="X123" s="772"/>
      <c r="Y123" s="926"/>
      <c r="Z123" s="775"/>
      <c r="AA123" s="778"/>
      <c r="AB123" s="775"/>
      <c r="AC123" s="775"/>
      <c r="AD123" s="775"/>
    </row>
    <row r="124" spans="1:30" ht="9" customHeight="1">
      <c r="A124" s="774"/>
      <c r="B124" s="774"/>
      <c r="C124" s="772"/>
      <c r="D124" s="772"/>
      <c r="E124" s="772"/>
      <c r="F124" s="772"/>
      <c r="G124" s="772"/>
      <c r="H124" s="818"/>
      <c r="I124" s="818"/>
      <c r="J124" s="818"/>
      <c r="K124" s="818"/>
      <c r="L124" s="818"/>
      <c r="M124" s="772"/>
      <c r="N124" s="817"/>
      <c r="O124" s="884"/>
      <c r="P124" s="884"/>
      <c r="Q124" s="884"/>
      <c r="R124" s="884"/>
      <c r="S124" s="772"/>
      <c r="T124" s="772"/>
      <c r="U124" s="772"/>
      <c r="V124" s="772"/>
      <c r="W124" s="772"/>
      <c r="X124" s="772"/>
      <c r="Y124" s="926"/>
      <c r="Z124" s="775"/>
      <c r="AA124" s="778"/>
      <c r="AB124" s="775"/>
      <c r="AC124" s="775"/>
      <c r="AD124" s="775"/>
    </row>
    <row r="125" spans="1:30" ht="9" customHeight="1">
      <c r="A125" s="774"/>
      <c r="B125" s="774"/>
      <c r="C125" s="772"/>
      <c r="D125" s="772"/>
      <c r="E125" s="772"/>
      <c r="F125" s="772"/>
      <c r="G125" s="772"/>
      <c r="H125" s="818"/>
      <c r="I125" s="818"/>
      <c r="J125" s="818"/>
      <c r="K125" s="818"/>
      <c r="L125" s="818"/>
      <c r="M125" s="772"/>
      <c r="N125" s="817"/>
      <c r="O125" s="884"/>
      <c r="P125" s="884"/>
      <c r="Q125" s="884"/>
      <c r="R125" s="884"/>
      <c r="S125" s="772"/>
      <c r="T125" s="772"/>
      <c r="U125" s="772"/>
      <c r="V125" s="772"/>
      <c r="W125" s="772"/>
      <c r="X125" s="772"/>
      <c r="Y125" s="926"/>
      <c r="Z125" s="775"/>
      <c r="AA125" s="778"/>
      <c r="AB125" s="775"/>
      <c r="AC125" s="775"/>
      <c r="AD125" s="775"/>
    </row>
    <row r="126" spans="1:30" ht="9" customHeight="1">
      <c r="A126" s="774"/>
      <c r="B126" s="774"/>
      <c r="C126" s="772"/>
      <c r="D126" s="772"/>
      <c r="E126" s="772"/>
      <c r="F126" s="772"/>
      <c r="G126" s="772"/>
      <c r="H126" s="818"/>
      <c r="I126" s="818"/>
      <c r="J126" s="818"/>
      <c r="K126" s="818"/>
      <c r="L126" s="818"/>
      <c r="M126" s="772"/>
      <c r="N126" s="817"/>
      <c r="O126" s="884"/>
      <c r="P126" s="884"/>
      <c r="Q126" s="884"/>
      <c r="R126" s="884"/>
      <c r="S126" s="772"/>
      <c r="T126" s="772"/>
      <c r="U126" s="772"/>
      <c r="V126" s="772"/>
      <c r="W126" s="772"/>
      <c r="X126" s="772"/>
      <c r="Y126" s="926"/>
      <c r="Z126" s="775"/>
      <c r="AA126" s="778"/>
      <c r="AB126" s="775"/>
      <c r="AC126" s="775"/>
      <c r="AD126" s="775"/>
    </row>
    <row r="127" spans="1:30" ht="9" customHeight="1">
      <c r="A127" s="774"/>
      <c r="B127" s="774"/>
      <c r="C127" s="772"/>
      <c r="D127" s="772"/>
      <c r="E127" s="772"/>
      <c r="F127" s="772"/>
      <c r="G127" s="772"/>
      <c r="H127" s="818"/>
      <c r="I127" s="818"/>
      <c r="J127" s="818"/>
      <c r="K127" s="818"/>
      <c r="L127" s="818"/>
      <c r="M127" s="772"/>
      <c r="N127" s="817"/>
      <c r="O127" s="884"/>
      <c r="P127" s="884"/>
      <c r="Q127" s="884"/>
      <c r="R127" s="884"/>
      <c r="S127" s="772"/>
      <c r="T127" s="772"/>
      <c r="U127" s="772"/>
      <c r="V127" s="772"/>
      <c r="W127" s="772"/>
      <c r="X127" s="772"/>
      <c r="Y127" s="926"/>
      <c r="Z127" s="775"/>
      <c r="AA127" s="778"/>
      <c r="AB127" s="775"/>
      <c r="AC127" s="775"/>
      <c r="AD127" s="775"/>
    </row>
    <row r="128" spans="1:30" ht="9" customHeight="1">
      <c r="A128" s="774"/>
      <c r="B128" s="774"/>
      <c r="C128" s="772"/>
      <c r="D128" s="772"/>
      <c r="E128" s="772"/>
      <c r="F128" s="772"/>
      <c r="G128" s="772"/>
      <c r="H128" s="818"/>
      <c r="I128" s="818"/>
      <c r="J128" s="818"/>
      <c r="K128" s="818"/>
      <c r="L128" s="818"/>
      <c r="M128" s="772"/>
      <c r="N128" s="817"/>
      <c r="O128" s="884"/>
      <c r="P128" s="884"/>
      <c r="Q128" s="884"/>
      <c r="R128" s="884"/>
      <c r="S128" s="772"/>
      <c r="T128" s="772"/>
      <c r="U128" s="772"/>
      <c r="V128" s="772"/>
      <c r="W128" s="772"/>
      <c r="X128" s="772"/>
      <c r="Y128" s="926"/>
      <c r="Z128" s="775"/>
      <c r="AA128" s="778"/>
      <c r="AB128" s="775"/>
      <c r="AC128" s="775"/>
      <c r="AD128" s="775"/>
    </row>
    <row r="129" spans="1:30" ht="9" customHeight="1">
      <c r="A129" s="774"/>
      <c r="B129" s="774"/>
      <c r="C129" s="772"/>
      <c r="D129" s="772"/>
      <c r="E129" s="772"/>
      <c r="F129" s="772"/>
      <c r="G129" s="772"/>
      <c r="H129" s="818"/>
      <c r="I129" s="818"/>
      <c r="J129" s="818"/>
      <c r="K129" s="818"/>
      <c r="L129" s="818"/>
      <c r="M129" s="772"/>
      <c r="N129" s="817"/>
      <c r="O129" s="884"/>
      <c r="P129" s="884"/>
      <c r="Q129" s="884"/>
      <c r="R129" s="884"/>
      <c r="S129" s="772"/>
      <c r="T129" s="772"/>
      <c r="U129" s="772"/>
      <c r="V129" s="772"/>
      <c r="W129" s="772"/>
      <c r="X129" s="772"/>
      <c r="Y129" s="926"/>
      <c r="Z129" s="775"/>
      <c r="AA129" s="778"/>
      <c r="AB129" s="775"/>
      <c r="AC129" s="775"/>
      <c r="AD129" s="775"/>
    </row>
    <row r="130" spans="1:30" ht="9" customHeight="1">
      <c r="A130" s="774"/>
      <c r="B130" s="774"/>
      <c r="C130" s="772"/>
      <c r="D130" s="772"/>
      <c r="E130" s="772"/>
      <c r="F130" s="772"/>
      <c r="G130" s="772"/>
      <c r="H130" s="818"/>
      <c r="I130" s="818"/>
      <c r="J130" s="818"/>
      <c r="K130" s="818"/>
      <c r="L130" s="818"/>
      <c r="M130" s="772"/>
      <c r="N130" s="817"/>
      <c r="O130" s="886"/>
      <c r="P130" s="886"/>
      <c r="Q130" s="886"/>
      <c r="R130" s="886"/>
      <c r="S130" s="772"/>
      <c r="T130" s="772"/>
      <c r="U130" s="772"/>
      <c r="V130" s="772"/>
      <c r="W130" s="772"/>
      <c r="X130" s="772"/>
      <c r="Y130" s="926"/>
      <c r="Z130" s="775"/>
      <c r="AA130" s="778"/>
      <c r="AB130" s="775"/>
      <c r="AC130" s="775"/>
      <c r="AD130" s="775"/>
    </row>
    <row r="131" spans="1:30" ht="9" customHeight="1">
      <c r="A131" s="774"/>
      <c r="B131" s="774"/>
      <c r="C131" s="772"/>
      <c r="D131" s="772"/>
      <c r="E131" s="772"/>
      <c r="F131" s="772"/>
      <c r="G131" s="772"/>
      <c r="H131" s="818"/>
      <c r="I131" s="818"/>
      <c r="J131" s="818"/>
      <c r="K131" s="818"/>
      <c r="L131" s="818"/>
      <c r="M131" s="772"/>
      <c r="N131" s="817"/>
      <c r="O131" s="887"/>
      <c r="P131" s="887"/>
      <c r="Q131" s="887"/>
      <c r="R131" s="887"/>
      <c r="S131" s="772"/>
      <c r="T131" s="772"/>
      <c r="U131" s="772"/>
      <c r="V131" s="772"/>
      <c r="W131" s="772"/>
      <c r="X131" s="772"/>
      <c r="Y131" s="926"/>
      <c r="Z131" s="775"/>
      <c r="AA131" s="778"/>
      <c r="AB131" s="775"/>
      <c r="AC131" s="775"/>
      <c r="AD131" s="775"/>
    </row>
    <row r="132" spans="1:30" ht="9" customHeight="1">
      <c r="A132" s="774"/>
      <c r="B132" s="774"/>
      <c r="C132" s="772"/>
      <c r="D132" s="772"/>
      <c r="E132" s="772"/>
      <c r="F132" s="772"/>
      <c r="G132" s="772"/>
      <c r="H132" s="818"/>
      <c r="I132" s="818"/>
      <c r="J132" s="818"/>
      <c r="K132" s="818"/>
      <c r="L132" s="818"/>
      <c r="M132" s="772"/>
      <c r="N132" s="817"/>
      <c r="O132" s="886"/>
      <c r="P132" s="886"/>
      <c r="Q132" s="886"/>
      <c r="R132" s="886"/>
      <c r="S132" s="772"/>
      <c r="T132" s="772"/>
      <c r="U132" s="772"/>
      <c r="V132" s="772"/>
      <c r="W132" s="772"/>
      <c r="X132" s="772"/>
      <c r="Y132" s="926"/>
      <c r="Z132" s="775"/>
      <c r="AA132" s="778"/>
      <c r="AB132" s="775"/>
      <c r="AC132" s="775"/>
      <c r="AD132" s="775"/>
    </row>
    <row r="133" spans="1:30" ht="9" customHeight="1">
      <c r="A133" s="774"/>
      <c r="B133" s="774"/>
      <c r="C133" s="772"/>
      <c r="D133" s="772"/>
      <c r="E133" s="772"/>
      <c r="F133" s="772"/>
      <c r="G133" s="772"/>
      <c r="H133" s="818"/>
      <c r="I133" s="818"/>
      <c r="J133" s="818"/>
      <c r="K133" s="818"/>
      <c r="L133" s="818"/>
      <c r="M133" s="772"/>
      <c r="N133" s="817"/>
      <c r="O133" s="887"/>
      <c r="P133" s="887"/>
      <c r="Q133" s="887"/>
      <c r="R133" s="887"/>
      <c r="S133" s="772"/>
      <c r="T133" s="772"/>
      <c r="U133" s="772"/>
      <c r="V133" s="772"/>
      <c r="W133" s="772"/>
      <c r="X133" s="772"/>
      <c r="Y133" s="926"/>
      <c r="Z133" s="775"/>
      <c r="AA133" s="778"/>
      <c r="AB133" s="775"/>
      <c r="AC133" s="775"/>
      <c r="AD133" s="775"/>
    </row>
    <row r="134" spans="1:30" ht="9" customHeight="1">
      <c r="A134" s="774"/>
      <c r="B134" s="774"/>
      <c r="C134" s="772"/>
      <c r="D134" s="772"/>
      <c r="E134" s="772"/>
      <c r="F134" s="772"/>
      <c r="G134" s="772"/>
      <c r="H134" s="818"/>
      <c r="I134" s="818"/>
      <c r="J134" s="818"/>
      <c r="K134" s="818"/>
      <c r="L134" s="818"/>
      <c r="M134" s="772"/>
      <c r="N134" s="817"/>
      <c r="O134" s="884"/>
      <c r="P134" s="884"/>
      <c r="Q134" s="884"/>
      <c r="R134" s="884"/>
      <c r="S134" s="772"/>
      <c r="T134" s="772"/>
      <c r="U134" s="772"/>
      <c r="V134" s="772"/>
      <c r="W134" s="772"/>
      <c r="X134" s="772"/>
      <c r="Y134" s="926"/>
      <c r="Z134" s="775"/>
      <c r="AA134" s="778"/>
      <c r="AB134" s="775"/>
      <c r="AC134" s="775"/>
      <c r="AD134" s="775"/>
    </row>
    <row r="135" spans="1:30" ht="9" customHeight="1">
      <c r="A135" s="774"/>
      <c r="B135" s="774"/>
      <c r="C135" s="772"/>
      <c r="D135" s="772"/>
      <c r="E135" s="772"/>
      <c r="F135" s="772"/>
      <c r="G135" s="772"/>
      <c r="H135" s="818"/>
      <c r="I135" s="818"/>
      <c r="J135" s="818"/>
      <c r="K135" s="818"/>
      <c r="L135" s="818"/>
      <c r="M135" s="772"/>
      <c r="N135" s="817"/>
      <c r="O135" s="884"/>
      <c r="P135" s="884"/>
      <c r="Q135" s="884"/>
      <c r="R135" s="884"/>
      <c r="S135" s="772"/>
      <c r="T135" s="772"/>
      <c r="U135" s="772"/>
      <c r="V135" s="772"/>
      <c r="W135" s="772"/>
      <c r="X135" s="772"/>
      <c r="Y135" s="926"/>
      <c r="Z135" s="775"/>
      <c r="AA135" s="778"/>
      <c r="AB135" s="775"/>
      <c r="AC135" s="775"/>
      <c r="AD135" s="775"/>
    </row>
    <row r="136" spans="1:30" ht="9" customHeight="1">
      <c r="A136" s="774"/>
      <c r="B136" s="774"/>
      <c r="C136" s="772"/>
      <c r="D136" s="772"/>
      <c r="E136" s="772"/>
      <c r="F136" s="772"/>
      <c r="G136" s="772"/>
      <c r="H136" s="818"/>
      <c r="I136" s="818"/>
      <c r="J136" s="818"/>
      <c r="K136" s="818"/>
      <c r="L136" s="818"/>
      <c r="M136" s="772"/>
      <c r="N136" s="817"/>
      <c r="O136" s="884"/>
      <c r="P136" s="884"/>
      <c r="Q136" s="884"/>
      <c r="R136" s="884"/>
      <c r="S136" s="772"/>
      <c r="T136" s="772"/>
      <c r="U136" s="772"/>
      <c r="V136" s="772"/>
      <c r="W136" s="772"/>
      <c r="X136" s="772"/>
      <c r="Y136" s="926"/>
      <c r="Z136" s="775"/>
      <c r="AA136" s="778"/>
      <c r="AB136" s="775"/>
      <c r="AC136" s="775"/>
      <c r="AD136" s="775"/>
    </row>
    <row r="137" spans="1:30" ht="9" customHeight="1">
      <c r="A137" s="774"/>
      <c r="B137" s="774"/>
      <c r="C137" s="772"/>
      <c r="D137" s="772"/>
      <c r="E137" s="772"/>
      <c r="F137" s="772"/>
      <c r="G137" s="772"/>
      <c r="H137" s="818"/>
      <c r="I137" s="818"/>
      <c r="J137" s="818"/>
      <c r="K137" s="818"/>
      <c r="L137" s="818"/>
      <c r="M137" s="772"/>
      <c r="N137" s="817"/>
      <c r="O137" s="888"/>
      <c r="P137" s="888"/>
      <c r="Q137" s="888"/>
      <c r="R137" s="888"/>
      <c r="S137" s="772"/>
      <c r="T137" s="772"/>
      <c r="U137" s="772"/>
      <c r="V137" s="772"/>
      <c r="W137" s="772"/>
      <c r="X137" s="772"/>
      <c r="Y137" s="926"/>
      <c r="Z137" s="775"/>
      <c r="AA137" s="778"/>
      <c r="AB137" s="775"/>
      <c r="AC137" s="775"/>
      <c r="AD137" s="775"/>
    </row>
    <row r="138" spans="1:30" ht="9" customHeight="1">
      <c r="A138" s="774"/>
      <c r="B138" s="774"/>
      <c r="C138" s="772"/>
      <c r="D138" s="772"/>
      <c r="E138" s="772"/>
      <c r="F138" s="772"/>
      <c r="G138" s="772"/>
      <c r="H138" s="818"/>
      <c r="I138" s="818"/>
      <c r="J138" s="818"/>
      <c r="K138" s="818"/>
      <c r="L138" s="818"/>
      <c r="M138" s="772"/>
      <c r="N138" s="817"/>
      <c r="O138" s="885"/>
      <c r="P138" s="885"/>
      <c r="Q138" s="885"/>
      <c r="R138" s="885"/>
      <c r="S138" s="772"/>
      <c r="T138" s="772"/>
      <c r="U138" s="772"/>
      <c r="V138" s="772"/>
      <c r="W138" s="772"/>
      <c r="X138" s="772"/>
      <c r="Y138" s="926"/>
      <c r="Z138" s="775"/>
      <c r="AA138" s="778"/>
      <c r="AB138" s="775"/>
      <c r="AC138" s="775"/>
      <c r="AD138" s="775"/>
    </row>
    <row r="139" spans="1:30" ht="9" customHeight="1">
      <c r="A139" s="774"/>
      <c r="B139" s="774"/>
      <c r="C139" s="772"/>
      <c r="D139" s="772"/>
      <c r="E139" s="772"/>
      <c r="F139" s="772"/>
      <c r="G139" s="772"/>
      <c r="H139" s="818"/>
      <c r="I139" s="818"/>
      <c r="J139" s="818"/>
      <c r="K139" s="818"/>
      <c r="L139" s="818"/>
      <c r="M139" s="772"/>
      <c r="N139" s="817"/>
      <c r="O139" s="772"/>
      <c r="P139" s="772"/>
      <c r="Q139" s="772"/>
      <c r="R139" s="772"/>
      <c r="S139" s="772"/>
      <c r="T139" s="772"/>
      <c r="U139" s="772"/>
      <c r="V139" s="772"/>
      <c r="W139" s="772"/>
      <c r="X139" s="772"/>
      <c r="Y139" s="926"/>
      <c r="Z139" s="775"/>
      <c r="AA139" s="778"/>
      <c r="AB139" s="775"/>
      <c r="AC139" s="775"/>
      <c r="AD139" s="775"/>
    </row>
    <row r="140" spans="1:30" ht="9" customHeight="1">
      <c r="A140" s="774"/>
      <c r="B140" s="774"/>
      <c r="C140" s="772"/>
      <c r="D140" s="772"/>
      <c r="E140" s="772"/>
      <c r="F140" s="772"/>
      <c r="G140" s="772"/>
      <c r="H140" s="818"/>
      <c r="I140" s="818"/>
      <c r="J140" s="818"/>
      <c r="K140" s="818"/>
      <c r="L140" s="818"/>
      <c r="M140" s="772"/>
      <c r="N140" s="817"/>
      <c r="O140" s="772"/>
      <c r="P140" s="772"/>
      <c r="Q140" s="772"/>
      <c r="R140" s="772"/>
      <c r="S140" s="772"/>
      <c r="T140" s="772"/>
      <c r="U140" s="772"/>
      <c r="V140" s="772"/>
      <c r="W140" s="772"/>
      <c r="X140" s="772"/>
      <c r="Y140" s="926"/>
      <c r="Z140" s="775"/>
      <c r="AA140" s="778"/>
      <c r="AB140" s="775"/>
      <c r="AC140" s="775"/>
      <c r="AD140" s="775"/>
    </row>
    <row r="141" spans="1:30" ht="9" customHeight="1">
      <c r="A141" s="774"/>
      <c r="B141" s="774"/>
      <c r="C141" s="772"/>
      <c r="D141" s="772"/>
      <c r="E141" s="772"/>
      <c r="F141" s="772"/>
      <c r="G141" s="772"/>
      <c r="H141" s="818"/>
      <c r="I141" s="818"/>
      <c r="J141" s="818"/>
      <c r="K141" s="818"/>
      <c r="L141" s="818"/>
      <c r="M141" s="772"/>
      <c r="N141" s="817"/>
      <c r="O141" s="772"/>
      <c r="P141" s="772"/>
      <c r="Q141" s="772"/>
      <c r="R141" s="772"/>
      <c r="S141" s="772"/>
      <c r="T141" s="772"/>
      <c r="U141" s="772"/>
      <c r="V141" s="772"/>
      <c r="W141" s="772"/>
      <c r="X141" s="772"/>
      <c r="Y141" s="926"/>
      <c r="Z141" s="775"/>
      <c r="AA141" s="778"/>
      <c r="AB141" s="775"/>
      <c r="AC141" s="775"/>
      <c r="AD141" s="775"/>
    </row>
    <row r="142" spans="1:30" ht="9" customHeight="1">
      <c r="A142" s="774"/>
      <c r="B142" s="774"/>
      <c r="C142" s="772"/>
      <c r="D142" s="772"/>
      <c r="E142" s="772"/>
      <c r="F142" s="772"/>
      <c r="G142" s="772"/>
      <c r="H142" s="818"/>
      <c r="I142" s="818"/>
      <c r="J142" s="818"/>
      <c r="K142" s="818"/>
      <c r="L142" s="818"/>
      <c r="M142" s="772"/>
      <c r="N142" s="817"/>
      <c r="O142" s="772"/>
      <c r="P142" s="772"/>
      <c r="Q142" s="772"/>
      <c r="R142" s="772"/>
      <c r="S142" s="772"/>
      <c r="T142" s="772"/>
      <c r="U142" s="772"/>
      <c r="V142" s="772"/>
      <c r="W142" s="772"/>
      <c r="X142" s="772"/>
      <c r="Y142" s="926"/>
      <c r="Z142" s="775"/>
      <c r="AA142" s="778"/>
      <c r="AB142" s="775"/>
      <c r="AC142" s="775"/>
      <c r="AD142" s="775"/>
    </row>
    <row r="143" spans="1:30" ht="9" customHeight="1">
      <c r="A143" s="774"/>
      <c r="B143" s="774"/>
      <c r="C143" s="772"/>
      <c r="D143" s="772"/>
      <c r="E143" s="772"/>
      <c r="F143" s="772"/>
      <c r="G143" s="772"/>
      <c r="H143" s="818"/>
      <c r="I143" s="818"/>
      <c r="J143" s="818"/>
      <c r="K143" s="818"/>
      <c r="L143" s="818"/>
      <c r="M143" s="772"/>
      <c r="N143" s="817"/>
      <c r="O143" s="772"/>
      <c r="P143" s="772"/>
      <c r="Q143" s="772"/>
      <c r="R143" s="772"/>
      <c r="S143" s="772"/>
      <c r="T143" s="772"/>
      <c r="U143" s="772"/>
      <c r="V143" s="772"/>
      <c r="W143" s="772"/>
      <c r="X143" s="772"/>
      <c r="Y143" s="926"/>
      <c r="Z143" s="775"/>
      <c r="AA143" s="778"/>
      <c r="AB143" s="775"/>
      <c r="AC143" s="775"/>
      <c r="AD143" s="775"/>
    </row>
    <row r="144" spans="1:30" ht="9" customHeight="1">
      <c r="A144" s="774"/>
      <c r="B144" s="774"/>
      <c r="C144" s="772"/>
      <c r="D144" s="772"/>
      <c r="E144" s="772"/>
      <c r="F144" s="772"/>
      <c r="G144" s="772"/>
      <c r="H144" s="818"/>
      <c r="I144" s="818"/>
      <c r="J144" s="818"/>
      <c r="K144" s="818"/>
      <c r="L144" s="818"/>
      <c r="M144" s="772"/>
      <c r="N144" s="817"/>
      <c r="O144" s="772"/>
      <c r="P144" s="772"/>
      <c r="Q144" s="772"/>
      <c r="R144" s="772"/>
      <c r="S144" s="772"/>
      <c r="T144" s="772"/>
      <c r="U144" s="772"/>
      <c r="V144" s="772"/>
      <c r="W144" s="772"/>
      <c r="X144" s="772"/>
      <c r="Y144" s="926"/>
      <c r="Z144" s="775"/>
      <c r="AA144" s="778"/>
      <c r="AB144" s="775"/>
      <c r="AC144" s="775"/>
      <c r="AD144" s="775"/>
    </row>
    <row r="145" spans="1:30" ht="9" customHeight="1">
      <c r="A145" s="774"/>
      <c r="B145" s="774"/>
      <c r="C145" s="772"/>
      <c r="D145" s="772"/>
      <c r="E145" s="772"/>
      <c r="F145" s="772"/>
      <c r="G145" s="772"/>
      <c r="H145" s="818"/>
      <c r="I145" s="818"/>
      <c r="J145" s="818"/>
      <c r="K145" s="818"/>
      <c r="L145" s="818"/>
      <c r="M145" s="772"/>
      <c r="N145" s="817"/>
      <c r="O145" s="772"/>
      <c r="P145" s="772"/>
      <c r="Q145" s="772"/>
      <c r="R145" s="772"/>
      <c r="S145" s="772"/>
      <c r="T145" s="772"/>
      <c r="U145" s="772"/>
      <c r="V145" s="772"/>
      <c r="W145" s="772"/>
      <c r="X145" s="772"/>
      <c r="Y145" s="926"/>
      <c r="Z145" s="775"/>
      <c r="AA145" s="778"/>
      <c r="AB145" s="775"/>
      <c r="AC145" s="775"/>
      <c r="AD145" s="775"/>
    </row>
    <row r="146" spans="1:30" ht="9" customHeight="1">
      <c r="A146" s="774"/>
      <c r="B146" s="774"/>
      <c r="C146" s="772"/>
      <c r="D146" s="772"/>
      <c r="E146" s="772"/>
      <c r="F146" s="772"/>
      <c r="G146" s="772"/>
      <c r="H146" s="818"/>
      <c r="I146" s="818"/>
      <c r="J146" s="818"/>
      <c r="K146" s="818"/>
      <c r="L146" s="818"/>
      <c r="M146" s="772"/>
      <c r="N146" s="817"/>
      <c r="O146" s="772"/>
      <c r="P146" s="772"/>
      <c r="Q146" s="772"/>
      <c r="R146" s="772"/>
      <c r="S146" s="772"/>
      <c r="T146" s="772"/>
      <c r="U146" s="772"/>
      <c r="V146" s="772"/>
      <c r="W146" s="772"/>
      <c r="X146" s="772"/>
      <c r="Y146" s="926"/>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1756</v>
      </c>
      <c r="B148" s="774"/>
      <c r="C148" s="772" t="s">
        <v>2320</v>
      </c>
      <c r="D148" s="772" t="s">
        <v>1660</v>
      </c>
      <c r="E148" s="772" t="s">
        <v>1758</v>
      </c>
      <c r="F148" s="772" t="s">
        <v>2321</v>
      </c>
      <c r="G148" s="772"/>
      <c r="H148" s="772"/>
      <c r="I148" s="890"/>
      <c r="J148" s="890"/>
      <c r="K148" s="890"/>
      <c r="L148" s="890"/>
      <c r="M148" s="82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7"/>
      <c r="O148" s="772"/>
      <c r="P148" s="773"/>
      <c r="Q148" s="773"/>
      <c r="R148" s="773"/>
      <c r="S148" s="772"/>
      <c r="T148" s="772" t="s">
        <v>2322</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3"/>
      <c r="W148" s="773"/>
      <c r="X148" s="772" t="s">
        <v>2323</v>
      </c>
      <c r="Y148" s="926"/>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1760</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6"/>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1763</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6"/>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1767</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6"/>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4274" hidden="1"/>
    <col min="2" max="2" width="11" style="4274" hidden="1" customWidth="1"/>
    <col min="3" max="3" width="10.5703125" style="4274" hidden="1"/>
    <col min="4" max="4" width="11.85546875" style="4274" hidden="1" customWidth="1"/>
    <col min="5" max="5" width="12.28515625" style="4274" hidden="1" customWidth="1"/>
    <col min="6" max="8" width="12.28515625" style="4301" hidden="1" customWidth="1"/>
    <col min="9" max="9" width="3" style="4302" customWidth="1"/>
    <col min="10" max="11" width="3" style="4303" customWidth="1"/>
    <col min="12" max="12" width="12" style="4304" customWidth="1"/>
    <col min="13" max="13" width="31" style="4267" customWidth="1"/>
    <col min="14" max="14" width="1" style="4267" customWidth="1"/>
    <col min="15" max="18" width="24" style="4267" customWidth="1"/>
    <col min="19" max="19" width="11" style="4267" customWidth="1"/>
    <col min="20" max="20" width="3.7109375" style="4267" customWidth="1"/>
    <col min="21" max="21" width="11" style="4267" customWidth="1"/>
    <col min="22" max="22" width="8.5703125" style="4267" customWidth="1"/>
    <col min="23" max="23" width="4" style="4267" customWidth="1"/>
    <col min="24" max="24" width="115" style="4267" customWidth="1"/>
    <col min="25" max="29" width="10" style="4275" customWidth="1"/>
    <col min="30" max="30" width="10.5703125" style="4267" hidden="1"/>
  </cols>
  <sheetData>
    <row r="1" spans="1:30" ht="22.5" hidden="1" customHeight="1">
      <c r="R1" s="265"/>
      <c r="S1" s="265"/>
      <c r="AD1" s="1076" t="s">
        <v>14</v>
      </c>
    </row>
    <row r="2" spans="1:30" ht="14.25" hidden="1" customHeight="1">
      <c r="V2" s="265"/>
      <c r="AD2" s="1076">
        <v>0</v>
      </c>
    </row>
    <row r="3" spans="1:30" ht="14.25" hidden="1" customHeight="1">
      <c r="AD3" s="1076">
        <v>0</v>
      </c>
    </row>
    <row r="4" spans="1:30" ht="14.65" customHeight="1">
      <c r="J4" s="314"/>
      <c r="K4" s="314"/>
      <c r="L4" s="1196"/>
      <c r="M4" s="301"/>
      <c r="N4" s="301"/>
      <c r="O4" s="447"/>
      <c r="P4" s="447"/>
      <c r="Q4" s="447"/>
      <c r="R4" s="447"/>
      <c r="S4" s="447"/>
      <c r="T4" s="447"/>
      <c r="U4" s="447"/>
      <c r="V4" s="447"/>
      <c r="AD4" s="1076">
        <v>14</v>
      </c>
    </row>
    <row r="5" spans="1:30" ht="67.150000000000006" customHeight="1">
      <c r="J5" s="314"/>
      <c r="K5" s="314"/>
      <c r="L5" s="5744" t="s">
        <v>2324</v>
      </c>
      <c r="M5" s="5744"/>
      <c r="N5" s="5744"/>
      <c r="O5" s="5744"/>
      <c r="P5" s="5744"/>
      <c r="Q5" s="5744"/>
      <c r="R5" s="5744"/>
      <c r="S5" s="5744"/>
      <c r="T5" s="5744"/>
      <c r="U5" s="5744"/>
      <c r="V5" s="1164"/>
      <c r="AD5" s="1076">
        <v>64</v>
      </c>
    </row>
    <row r="6" spans="1:30" ht="14.65" customHeight="1">
      <c r="J6" s="314"/>
      <c r="K6" s="314"/>
      <c r="L6" s="5745" t="str">
        <f>IF(org=0,"Не определено",org)</f>
        <v>КГУП "Примтеплоэнерго"</v>
      </c>
      <c r="M6" s="5745"/>
      <c r="N6" s="5745"/>
      <c r="O6" s="5745"/>
      <c r="P6" s="5745"/>
      <c r="Q6" s="5745"/>
      <c r="R6" s="5745"/>
      <c r="S6" s="5745"/>
      <c r="T6" s="5745"/>
      <c r="U6" s="5745"/>
      <c r="V6" s="1164"/>
      <c r="AD6" s="1076">
        <v>14</v>
      </c>
    </row>
    <row r="7" spans="1:30" ht="14.65" customHeight="1">
      <c r="J7" s="314"/>
      <c r="K7" s="314"/>
      <c r="L7" s="1196"/>
      <c r="M7" s="301"/>
      <c r="N7" s="301"/>
      <c r="O7" s="260"/>
      <c r="P7" s="260"/>
      <c r="Q7" s="260"/>
      <c r="R7" s="260"/>
      <c r="S7" s="260"/>
      <c r="T7" s="260"/>
      <c r="U7" s="260"/>
      <c r="V7" s="260"/>
      <c r="W7" s="447"/>
      <c r="AD7" s="1076">
        <v>14</v>
      </c>
    </row>
    <row r="8" spans="1:30" s="4284" customFormat="1" ht="48.2" customHeight="1">
      <c r="A8" s="1289"/>
      <c r="B8" s="1289"/>
      <c r="C8" s="1289"/>
      <c r="D8" s="1289"/>
      <c r="E8" s="1289"/>
      <c r="F8" s="1289"/>
      <c r="G8" s="1289"/>
      <c r="H8" s="1289"/>
      <c r="L8" s="1197"/>
      <c r="M8" s="233" t="s">
        <v>42</v>
      </c>
      <c r="N8" s="242"/>
      <c r="O8" s="5462" t="str">
        <f>IF(TITLE_NAME_OR_PR_CHANGE="",IF(TITLE_NAME_OR_PR="","",TITLE_NAME_OR_PR),TITLE_NAME_OR_PR_CHANGE)</f>
        <v/>
      </c>
      <c r="P8" s="5462"/>
      <c r="Q8" s="5462"/>
      <c r="R8" s="5462"/>
      <c r="S8" s="5462"/>
      <c r="T8" s="5462"/>
      <c r="U8" s="5462"/>
      <c r="V8" s="264"/>
      <c r="W8" s="264"/>
      <c r="X8" s="218"/>
      <c r="Y8" s="306"/>
      <c r="Z8" s="306"/>
      <c r="AA8" s="306"/>
      <c r="AB8" s="306"/>
      <c r="AC8" s="306"/>
      <c r="AD8" s="356">
        <v>46</v>
      </c>
    </row>
    <row r="9" spans="1:30" s="4284" customFormat="1" ht="24" customHeight="1">
      <c r="A9" s="1289"/>
      <c r="B9" s="1289"/>
      <c r="C9" s="1289"/>
      <c r="D9" s="1289"/>
      <c r="E9" s="1289"/>
      <c r="F9" s="1289"/>
      <c r="G9" s="1289"/>
      <c r="H9" s="1289"/>
      <c r="L9" s="1197"/>
      <c r="M9" s="233" t="s">
        <v>514</v>
      </c>
      <c r="N9" s="242"/>
      <c r="O9" s="5462">
        <f>IF(TITLE_DATE_CHANGE_PERIOD="",IF(TITLE_DATE_PR="","",TITLE_DATE_PR),TITLE_DATE_CHANGE_PERIOD)</f>
        <v>45658.602175925924</v>
      </c>
      <c r="P9" s="5462"/>
      <c r="Q9" s="5462"/>
      <c r="R9" s="5462"/>
      <c r="S9" s="5462"/>
      <c r="T9" s="5462"/>
      <c r="U9" s="5462"/>
      <c r="V9" s="264"/>
      <c r="W9" s="264"/>
      <c r="X9" s="218"/>
      <c r="Y9" s="306"/>
      <c r="Z9" s="306"/>
      <c r="AA9" s="306"/>
      <c r="AB9" s="306"/>
      <c r="AC9" s="306"/>
      <c r="AD9" s="356">
        <v>23</v>
      </c>
    </row>
    <row r="10" spans="1:30" s="4284" customFormat="1" ht="24" customHeight="1">
      <c r="A10" s="1289"/>
      <c r="B10" s="1289"/>
      <c r="C10" s="1289"/>
      <c r="D10" s="1289"/>
      <c r="E10" s="1289"/>
      <c r="F10" s="1289"/>
      <c r="G10" s="1289"/>
      <c r="H10" s="1289"/>
      <c r="L10" s="1171"/>
      <c r="M10" s="233" t="s">
        <v>515</v>
      </c>
      <c r="N10" s="242"/>
      <c r="O10" s="5462" t="str">
        <f>IF(TITLE_NUMBER_PR_CHANGE="",IF(TITLE_NUMBER_PR="","",TITLE_NUMBER_PR),TITLE_NUMBER_PR_CHANGE)</f>
        <v>27-6414</v>
      </c>
      <c r="P10" s="5462"/>
      <c r="Q10" s="5462"/>
      <c r="R10" s="5462"/>
      <c r="S10" s="5462"/>
      <c r="T10" s="5462"/>
      <c r="U10" s="5462"/>
      <c r="V10" s="264"/>
      <c r="W10" s="264"/>
      <c r="X10" s="218"/>
      <c r="Y10" s="306"/>
      <c r="Z10" s="306"/>
      <c r="AA10" s="306"/>
      <c r="AB10" s="306"/>
      <c r="AC10" s="306"/>
      <c r="AD10" s="356">
        <v>23</v>
      </c>
    </row>
    <row r="11" spans="1:30" s="4284" customFormat="1" ht="24" customHeight="1">
      <c r="A11" s="1289"/>
      <c r="B11" s="1289"/>
      <c r="C11" s="1289"/>
      <c r="D11" s="1289"/>
      <c r="E11" s="1289"/>
      <c r="F11" s="1289"/>
      <c r="G11" s="1289"/>
      <c r="H11" s="1289"/>
      <c r="L11" s="1171"/>
      <c r="M11" s="233" t="s">
        <v>43</v>
      </c>
      <c r="N11" s="242"/>
      <c r="O11" s="5462" t="str">
        <f>IF(TITLE_IST_PUB_CHANGE="",IF(TITLE_IST_PUB="","",TITLE_IST_PUB),TITLE_IST_PUB_CHANGE)</f>
        <v/>
      </c>
      <c r="P11" s="5462"/>
      <c r="Q11" s="5462"/>
      <c r="R11" s="5462"/>
      <c r="S11" s="5462"/>
      <c r="T11" s="5462"/>
      <c r="U11" s="5462"/>
      <c r="V11" s="264"/>
      <c r="W11" s="264"/>
      <c r="X11" s="218"/>
      <c r="Y11" s="306"/>
      <c r="Z11" s="306"/>
      <c r="AA11" s="306"/>
      <c r="AB11" s="306"/>
      <c r="AC11" s="306"/>
      <c r="AD11" s="356">
        <v>23</v>
      </c>
    </row>
    <row r="12" spans="1:30" s="4284" customFormat="1" ht="11.25" hidden="1" customHeight="1">
      <c r="A12" s="1289"/>
      <c r="B12" s="1289"/>
      <c r="C12" s="1289"/>
      <c r="D12" s="1289"/>
      <c r="E12" s="1289"/>
      <c r="F12" s="1289"/>
      <c r="G12" s="1289"/>
      <c r="H12" s="1289"/>
      <c r="L12" s="5743"/>
      <c r="M12" s="5743"/>
      <c r="N12" s="1208"/>
      <c r="O12" s="264"/>
      <c r="P12" s="264"/>
      <c r="Q12" s="264"/>
      <c r="R12" s="264"/>
      <c r="S12" s="264"/>
      <c r="T12" s="264"/>
      <c r="U12" s="264"/>
      <c r="V12" s="216" t="s">
        <v>518</v>
      </c>
      <c r="Y12" s="306"/>
      <c r="Z12" s="306"/>
      <c r="AA12" s="306"/>
      <c r="AB12" s="306"/>
      <c r="AC12" s="306"/>
      <c r="AD12" s="356">
        <v>0</v>
      </c>
    </row>
    <row r="13" spans="1:30" ht="14.65" customHeight="1">
      <c r="J13" s="314"/>
      <c r="K13" s="314"/>
      <c r="L13" s="1196"/>
      <c r="M13" s="301"/>
      <c r="N13" s="1165"/>
      <c r="O13" s="5481"/>
      <c r="P13" s="5481"/>
      <c r="Q13" s="5481"/>
      <c r="R13" s="5481"/>
      <c r="S13" s="5481"/>
      <c r="T13" s="5481"/>
      <c r="U13" s="5481"/>
      <c r="V13" s="5481"/>
      <c r="AD13" s="1076">
        <v>14</v>
      </c>
    </row>
    <row r="14" spans="1:30" ht="14.65" customHeight="1">
      <c r="J14" s="314"/>
      <c r="K14" s="314"/>
      <c r="L14" s="5328" t="s">
        <v>393</v>
      </c>
      <c r="M14" s="5328"/>
      <c r="N14" s="5328"/>
      <c r="O14" s="5328"/>
      <c r="P14" s="5328"/>
      <c r="Q14" s="5328"/>
      <c r="R14" s="5328"/>
      <c r="S14" s="5328"/>
      <c r="T14" s="5328"/>
      <c r="U14" s="5328"/>
      <c r="V14" s="5328"/>
      <c r="W14" s="5328"/>
      <c r="X14" s="5328" t="s">
        <v>394</v>
      </c>
      <c r="AD14" s="1076">
        <v>14</v>
      </c>
    </row>
    <row r="15" spans="1:30" ht="14.65" customHeight="1">
      <c r="J15" s="314"/>
      <c r="K15" s="314"/>
      <c r="L15" s="5482" t="s">
        <v>88</v>
      </c>
      <c r="M15" s="5431" t="s">
        <v>519</v>
      </c>
      <c r="N15" s="239"/>
      <c r="O15" s="5483" t="s">
        <v>2325</v>
      </c>
      <c r="P15" s="5484"/>
      <c r="Q15" s="5484"/>
      <c r="R15" s="5484"/>
      <c r="S15" s="5484"/>
      <c r="T15" s="5484"/>
      <c r="U15" s="5485"/>
      <c r="V15" s="5486" t="s">
        <v>521</v>
      </c>
      <c r="W15" s="5489" t="s">
        <v>1236</v>
      </c>
      <c r="X15" s="5328"/>
      <c r="AD15" s="1076">
        <v>14</v>
      </c>
    </row>
    <row r="16" spans="1:30" ht="35.65" customHeight="1">
      <c r="J16" s="314"/>
      <c r="K16" s="314"/>
      <c r="L16" s="5482"/>
      <c r="M16" s="5431"/>
      <c r="N16" s="956"/>
      <c r="O16" s="5403" t="s">
        <v>524</v>
      </c>
      <c r="P16" s="5403" t="s">
        <v>525</v>
      </c>
      <c r="Q16" s="5309" t="s">
        <v>526</v>
      </c>
      <c r="R16" s="5308"/>
      <c r="S16" s="5309" t="s">
        <v>539</v>
      </c>
      <c r="T16" s="5314"/>
      <c r="U16" s="5308"/>
      <c r="V16" s="5487"/>
      <c r="W16" s="5490"/>
      <c r="X16" s="5328"/>
      <c r="AD16" s="1076">
        <v>34</v>
      </c>
    </row>
    <row r="17" spans="1:30" ht="35.65" customHeight="1">
      <c r="A17" s="1291" t="s">
        <v>166</v>
      </c>
      <c r="B17" s="1291" t="s">
        <v>167</v>
      </c>
      <c r="C17" s="1291" t="s">
        <v>168</v>
      </c>
      <c r="D17" s="1291" t="s">
        <v>169</v>
      </c>
      <c r="E17" s="1291"/>
      <c r="J17" s="314"/>
      <c r="K17" s="314"/>
      <c r="L17" s="5482"/>
      <c r="M17" s="5431"/>
      <c r="N17" s="240"/>
      <c r="O17" s="5455"/>
      <c r="P17" s="5455"/>
      <c r="Q17" s="1143" t="s">
        <v>535</v>
      </c>
      <c r="R17" s="1143" t="s">
        <v>536</v>
      </c>
      <c r="S17" s="1213" t="s">
        <v>537</v>
      </c>
      <c r="T17" s="5436" t="s">
        <v>538</v>
      </c>
      <c r="U17" s="5449"/>
      <c r="V17" s="5488"/>
      <c r="W17" s="5491"/>
      <c r="X17" s="5328"/>
      <c r="AD17" s="1076">
        <v>34</v>
      </c>
    </row>
    <row r="18" spans="1:30" s="4299" customFormat="1" ht="11.45" customHeight="1">
      <c r="A18" s="1291"/>
      <c r="B18" s="1291"/>
      <c r="C18" s="1291"/>
      <c r="D18" s="1291"/>
      <c r="E18" s="1291"/>
      <c r="F18" s="1283"/>
      <c r="G18" s="1283"/>
      <c r="H18" s="1283"/>
      <c r="I18" s="1167"/>
      <c r="J18" s="1168"/>
      <c r="K18" s="1175">
        <v>1</v>
      </c>
      <c r="L18" s="1198" t="s">
        <v>136</v>
      </c>
      <c r="M18" s="1176" t="s">
        <v>103</v>
      </c>
      <c r="N18" s="1166" t="str">
        <f ca="1">OFFSET(N18,0,-1)</f>
        <v>2</v>
      </c>
      <c r="O18" s="1210">
        <f ca="1">OFFSET(O18,0,-1)+1</f>
        <v>3</v>
      </c>
      <c r="P18" s="1210"/>
      <c r="Q18" s="1210">
        <f ca="1">OFFSET(Q18,0,-1)+1</f>
        <v>1</v>
      </c>
      <c r="R18" s="1210">
        <f ca="1">OFFSET(R18,0,-1)+1</f>
        <v>2</v>
      </c>
      <c r="S18" s="1210">
        <f ca="1">OFFSET(S18,0,-1)+1</f>
        <v>3</v>
      </c>
      <c r="T18" s="5480">
        <f ca="1">OFFSET(T18,0,-1)+1</f>
        <v>4</v>
      </c>
      <c r="U18" s="5480"/>
      <c r="V18" s="1210">
        <f ca="1">OFFSET(V18,0,-2)+1</f>
        <v>5</v>
      </c>
      <c r="W18" s="1166">
        <f ca="1">OFFSET(W18,0,-1)</f>
        <v>5</v>
      </c>
      <c r="X18" s="1210">
        <f ca="1">OFFSET(X18,0,-1)+1</f>
        <v>6</v>
      </c>
      <c r="Y18" s="449"/>
      <c r="Z18" s="449"/>
      <c r="AA18" s="449"/>
      <c r="AB18" s="449"/>
      <c r="AC18" s="449"/>
      <c r="AD18" s="434">
        <v>11</v>
      </c>
    </row>
    <row r="19" spans="1:30" ht="21" customHeight="1">
      <c r="A19" s="1284" t="s">
        <v>199</v>
      </c>
      <c r="B19" s="1284" t="s">
        <v>200</v>
      </c>
      <c r="C19" s="1284" t="s">
        <v>201</v>
      </c>
      <c r="D19" s="1284" t="s">
        <v>202</v>
      </c>
      <c r="E19" s="1284"/>
      <c r="F19" s="1286"/>
      <c r="G19" s="1286"/>
      <c r="H19" s="1286"/>
      <c r="I19" s="299"/>
      <c r="J19" s="298"/>
      <c r="K19" s="293"/>
      <c r="L19" s="1214">
        <f>INDEX(PT_DIFFERENTIATION_NUM_NTAR,MATCH(A19,PT_DIFFERENTIATION_NTAR_ID,0))</f>
        <v>0</v>
      </c>
      <c r="M19" s="236" t="s">
        <v>155</v>
      </c>
      <c r="N19" s="238"/>
      <c r="O19" s="5742" t="str">
        <f>INDEX(PT_DIFFERENTIATION_NTAR,MATCH(A19,PT_DIFFERENTIATION_NTAR_ID,0))</f>
        <v/>
      </c>
      <c r="P19" s="5742"/>
      <c r="Q19" s="5742"/>
      <c r="R19" s="5742"/>
      <c r="S19" s="5742"/>
      <c r="T19" s="5742"/>
      <c r="U19" s="5742"/>
      <c r="V19" s="5742"/>
      <c r="W19" s="5742"/>
      <c r="X19" s="1179" t="s">
        <v>489</v>
      </c>
      <c r="Z19" s="438"/>
      <c r="AA19" s="438" t="str">
        <f t="shared" ref="AA19:AA32" si="0">IF(M19="","",M19)</f>
        <v>Наименование тарифа</v>
      </c>
      <c r="AB19" s="438"/>
      <c r="AC19" s="438"/>
      <c r="AD19" s="1076">
        <v>20</v>
      </c>
    </row>
    <row r="20" spans="1:30" ht="21" customHeight="1">
      <c r="A20" s="1284" t="s">
        <v>199</v>
      </c>
      <c r="B20" s="1284" t="s">
        <v>200</v>
      </c>
      <c r="C20" s="1284" t="s">
        <v>201</v>
      </c>
      <c r="D20" s="1284" t="s">
        <v>202</v>
      </c>
      <c r="E20" s="1284"/>
      <c r="F20" s="1286"/>
      <c r="G20" s="1286"/>
      <c r="H20" s="1286"/>
      <c r="I20" s="1211"/>
      <c r="J20" s="290"/>
      <c r="K20" s="291"/>
      <c r="L20" s="1214" t="str">
        <f>INDEX(PT_DIFFERENTIATION_NUM_TER,MATCH(B19,PT_DIFFERENTIATION_TER_ID,0))</f>
        <v>.</v>
      </c>
      <c r="M20" s="246" t="s">
        <v>490</v>
      </c>
      <c r="N20" s="238"/>
      <c r="O20" s="5742" t="str">
        <f>INDEX(PT_DIFFERENTIATION_TER,MATCH(B19,PT_DIFFERENTIATION_TER_ID,0))</f>
        <v/>
      </c>
      <c r="P20" s="5742"/>
      <c r="Q20" s="5742"/>
      <c r="R20" s="5742"/>
      <c r="S20" s="5742"/>
      <c r="T20" s="5742"/>
      <c r="U20" s="5742"/>
      <c r="V20" s="5742"/>
      <c r="W20" s="5742"/>
      <c r="X20" s="1179" t="s">
        <v>491</v>
      </c>
      <c r="Z20" s="438"/>
      <c r="AA20" s="438" t="str">
        <f t="shared" si="0"/>
        <v>Территория действия тарифа</v>
      </c>
      <c r="AB20" s="438"/>
      <c r="AC20" s="438"/>
      <c r="AD20" s="1076">
        <v>20</v>
      </c>
    </row>
    <row r="21" spans="1:30" ht="24" customHeight="1">
      <c r="A21" s="1284" t="s">
        <v>199</v>
      </c>
      <c r="B21" s="1284" t="s">
        <v>200</v>
      </c>
      <c r="C21" s="1284" t="s">
        <v>201</v>
      </c>
      <c r="D21" s="1284" t="s">
        <v>202</v>
      </c>
      <c r="E21" s="1284"/>
      <c r="F21" s="1286"/>
      <c r="G21" s="1286"/>
      <c r="H21" s="1286"/>
      <c r="I21" s="292"/>
      <c r="J21" s="290"/>
      <c r="K21" s="291"/>
      <c r="L21" s="1214" t="str">
        <f>INDEX(PT_DIFFERENTIATION_NUM_CS,MATCH(C19,PT_DIFFERENTIATION_CS_ID,0))</f>
        <v>..</v>
      </c>
      <c r="M21" s="247" t="s">
        <v>492</v>
      </c>
      <c r="N21" s="238"/>
      <c r="O21" s="5742" t="str">
        <f>INDEX(PT_DIFFERENTIATION_CS,MATCH(C19,PT_DIFFERENTIATION_CS_ID,0))</f>
        <v/>
      </c>
      <c r="P21" s="5742"/>
      <c r="Q21" s="5742"/>
      <c r="R21" s="5742"/>
      <c r="S21" s="5742"/>
      <c r="T21" s="5742"/>
      <c r="U21" s="5742"/>
      <c r="V21" s="5742"/>
      <c r="W21" s="5742"/>
      <c r="X21" s="1179" t="s">
        <v>493</v>
      </c>
      <c r="Z21" s="438"/>
      <c r="AA21" s="438" t="str">
        <f t="shared" si="0"/>
        <v xml:space="preserve">Наименование системы теплоснабжения </v>
      </c>
      <c r="AB21" s="438"/>
      <c r="AC21" s="438"/>
      <c r="AD21" s="1076">
        <v>23</v>
      </c>
    </row>
    <row r="22" spans="1:30" ht="21" customHeight="1">
      <c r="A22" s="1284" t="s">
        <v>199</v>
      </c>
      <c r="B22" s="1284" t="s">
        <v>200</v>
      </c>
      <c r="C22" s="1284" t="s">
        <v>201</v>
      </c>
      <c r="D22" s="1284" t="s">
        <v>202</v>
      </c>
      <c r="E22" s="1284"/>
      <c r="F22" s="1286"/>
      <c r="G22" s="1286"/>
      <c r="H22" s="1286"/>
      <c r="I22" s="292"/>
      <c r="J22" s="290"/>
      <c r="K22" s="291"/>
      <c r="L22" s="1214" t="str">
        <f>INDEX(PT_DIFFERENTIATION_NUM_IST_TE,MATCH(D19,PT_DIFFERENTIATION_IST_TE_ID,0))</f>
        <v>...</v>
      </c>
      <c r="M22" s="248" t="s">
        <v>494</v>
      </c>
      <c r="N22" s="238"/>
      <c r="O22" s="5742" t="str">
        <f>INDEX(PT_DIFFERENTIATION_IST_TE,MATCH(D19,PT_DIFFERENTIATION_IST_TE_ID,0))</f>
        <v/>
      </c>
      <c r="P22" s="5742"/>
      <c r="Q22" s="5742"/>
      <c r="R22" s="5742"/>
      <c r="S22" s="5742"/>
      <c r="T22" s="5742"/>
      <c r="U22" s="5742"/>
      <c r="V22" s="5742"/>
      <c r="W22" s="5742"/>
      <c r="X22" s="1179" t="s">
        <v>495</v>
      </c>
      <c r="Z22" s="438"/>
      <c r="AA22" s="438" t="str">
        <f t="shared" si="0"/>
        <v xml:space="preserve">Источник тепловой энергии  </v>
      </c>
      <c r="AB22" s="438"/>
      <c r="AC22" s="438"/>
      <c r="AD22" s="1076">
        <v>20</v>
      </c>
    </row>
    <row r="23" spans="1:30" ht="96.75" customHeight="1">
      <c r="A23" s="1284" t="s">
        <v>199</v>
      </c>
      <c r="B23" s="1284" t="s">
        <v>200</v>
      </c>
      <c r="C23" s="1284" t="s">
        <v>201</v>
      </c>
      <c r="D23" s="1284" t="s">
        <v>202</v>
      </c>
      <c r="E23" s="1284"/>
      <c r="F23" s="5316" t="str">
        <f>L22&amp;".1"</f>
        <v>....1</v>
      </c>
      <c r="I23" s="5473">
        <v>1</v>
      </c>
      <c r="J23" s="1212"/>
      <c r="K23" s="294"/>
      <c r="L23" s="1214" t="str">
        <f>$F$23</f>
        <v>....1</v>
      </c>
      <c r="M23" s="223" t="s">
        <v>497</v>
      </c>
      <c r="N23" s="238"/>
      <c r="O23" s="5503"/>
      <c r="P23" s="5503"/>
      <c r="Q23" s="5503"/>
      <c r="R23" s="5503"/>
      <c r="S23" s="5503"/>
      <c r="T23" s="5503"/>
      <c r="U23" s="5503"/>
      <c r="V23" s="5503"/>
      <c r="W23" s="5503"/>
      <c r="X23" s="1179" t="s">
        <v>498</v>
      </c>
      <c r="Z23" s="438"/>
      <c r="AA23" s="438" t="str">
        <f t="shared" si="0"/>
        <v>Схема подключения теплопотребляющей установки к коллектору источника тепловой энергии</v>
      </c>
      <c r="AB23" s="438"/>
      <c r="AC23" s="438"/>
      <c r="AD23" s="1076">
        <v>92</v>
      </c>
    </row>
    <row r="24" spans="1:30" ht="86.25" customHeight="1">
      <c r="A24" s="1284" t="s">
        <v>199</v>
      </c>
      <c r="B24" s="1284" t="s">
        <v>200</v>
      </c>
      <c r="C24" s="1284" t="s">
        <v>201</v>
      </c>
      <c r="D24" s="1284" t="s">
        <v>202</v>
      </c>
      <c r="E24" s="1284"/>
      <c r="F24" s="5316"/>
      <c r="G24" s="5316" t="str">
        <f>F23&amp;".1"</f>
        <v>....1.1</v>
      </c>
      <c r="I24" s="5473"/>
      <c r="J24" s="5473">
        <v>1</v>
      </c>
      <c r="K24" s="295"/>
      <c r="L24" s="1214" t="str">
        <f>$G$24</f>
        <v>....1.1</v>
      </c>
      <c r="M24" s="224" t="s">
        <v>500</v>
      </c>
      <c r="N24" s="238"/>
      <c r="O24" s="5457"/>
      <c r="P24" s="5458"/>
      <c r="Q24" s="5458"/>
      <c r="R24" s="5458"/>
      <c r="S24" s="5458"/>
      <c r="T24" s="5458"/>
      <c r="U24" s="5458"/>
      <c r="V24" s="5458"/>
      <c r="W24" s="5459"/>
      <c r="X24" s="1179" t="s">
        <v>501</v>
      </c>
      <c r="Z24" s="438"/>
      <c r="AA24" s="438" t="str">
        <f t="shared" si="0"/>
        <v>Группа потребителей</v>
      </c>
      <c r="AB24" s="438"/>
      <c r="AC24" s="438"/>
      <c r="AD24" s="1076">
        <v>82</v>
      </c>
    </row>
    <row r="25" spans="1:30" ht="11.45" customHeight="1">
      <c r="A25" s="1284" t="s">
        <v>199</v>
      </c>
      <c r="B25" s="1284" t="s">
        <v>200</v>
      </c>
      <c r="C25" s="1284" t="s">
        <v>201</v>
      </c>
      <c r="D25" s="1284" t="s">
        <v>202</v>
      </c>
      <c r="E25" s="1284"/>
      <c r="F25" s="5316"/>
      <c r="G25" s="5316"/>
      <c r="H25" s="5316" t="str">
        <f>G24&amp;".1"</f>
        <v>....1.1.1</v>
      </c>
      <c r="I25" s="5473"/>
      <c r="J25" s="5473"/>
      <c r="K25" s="295">
        <v>1</v>
      </c>
      <c r="L25" s="1214" t="str">
        <f>$H$25</f>
        <v>....1.1.1</v>
      </c>
      <c r="M25" s="1268"/>
      <c r="N25" s="238"/>
      <c r="O25" s="689"/>
      <c r="P25" s="263"/>
      <c r="Q25" s="689"/>
      <c r="R25" s="1178"/>
      <c r="S25" s="5474"/>
      <c r="T25" s="5338" t="s">
        <v>66</v>
      </c>
      <c r="U25" s="5474"/>
      <c r="V25" s="5338" t="s">
        <v>19</v>
      </c>
      <c r="W25" s="263"/>
      <c r="X25" s="5492" t="s">
        <v>503</v>
      </c>
      <c r="Y25" s="449" t="e">
        <f ca="1">STRCHECKDATE(O26:W26)</f>
        <v>#NAME?</v>
      </c>
      <c r="Z25" s="438"/>
      <c r="AA25" s="438" t="str">
        <f t="shared" si="0"/>
        <v/>
      </c>
      <c r="AB25" s="438"/>
      <c r="AC25" s="438"/>
      <c r="AD25" s="1076">
        <v>11</v>
      </c>
    </row>
    <row r="26" spans="1:30" ht="11.45" customHeight="1">
      <c r="A26" s="1284" t="s">
        <v>199</v>
      </c>
      <c r="B26" s="1284" t="s">
        <v>200</v>
      </c>
      <c r="C26" s="1284" t="s">
        <v>201</v>
      </c>
      <c r="D26" s="1284" t="s">
        <v>202</v>
      </c>
      <c r="E26" s="1284"/>
      <c r="F26" s="5316"/>
      <c r="G26" s="5316"/>
      <c r="H26" s="5316"/>
      <c r="I26" s="5473"/>
      <c r="J26" s="5473"/>
      <c r="K26" s="295"/>
      <c r="L26" s="1215"/>
      <c r="M26" s="238"/>
      <c r="N26" s="238"/>
      <c r="O26" s="263"/>
      <c r="P26" s="263"/>
      <c r="Q26" s="263"/>
      <c r="R26" s="266" t="str">
        <f>S25&amp;"-"&amp;U25</f>
        <v>-</v>
      </c>
      <c r="S26" s="5475"/>
      <c r="T26" s="5338"/>
      <c r="U26" s="5475"/>
      <c r="V26" s="5338"/>
      <c r="W26" s="263"/>
      <c r="X26" s="5493"/>
      <c r="Z26" s="438"/>
      <c r="AA26" s="438" t="str">
        <f t="shared" si="0"/>
        <v/>
      </c>
      <c r="AB26" s="438"/>
      <c r="AC26" s="438"/>
      <c r="AD26" s="1076">
        <v>11</v>
      </c>
    </row>
    <row r="27" spans="1:30" ht="15.75" customHeight="1">
      <c r="A27" s="1284" t="s">
        <v>199</v>
      </c>
      <c r="B27" s="1284" t="s">
        <v>200</v>
      </c>
      <c r="C27" s="1284" t="s">
        <v>201</v>
      </c>
      <c r="D27" s="1284" t="s">
        <v>202</v>
      </c>
      <c r="E27" s="1284"/>
      <c r="F27" s="5316"/>
      <c r="G27" s="5316"/>
      <c r="I27" s="5473"/>
      <c r="J27" s="5473"/>
      <c r="K27" s="294"/>
      <c r="L27" s="1199"/>
      <c r="M27" s="226" t="s">
        <v>504</v>
      </c>
      <c r="N27" s="305"/>
      <c r="O27" s="305"/>
      <c r="P27" s="305"/>
      <c r="Q27" s="305"/>
      <c r="R27" s="305"/>
      <c r="S27" s="305"/>
      <c r="T27" s="305"/>
      <c r="U27" s="305"/>
      <c r="V27" s="305"/>
      <c r="W27" s="262"/>
      <c r="X27" s="5494"/>
      <c r="Z27" s="438"/>
      <c r="AA27" s="438" t="str">
        <f t="shared" si="0"/>
        <v>Добавить вид теплоносителя (параметры теплоносителя)</v>
      </c>
      <c r="AB27" s="438"/>
      <c r="AC27" s="438"/>
      <c r="AD27" s="1076">
        <v>15</v>
      </c>
    </row>
    <row r="28" spans="1:30" ht="15.75" customHeight="1">
      <c r="A28" s="1284" t="s">
        <v>199</v>
      </c>
      <c r="B28" s="1284" t="s">
        <v>200</v>
      </c>
      <c r="C28" s="1284" t="s">
        <v>201</v>
      </c>
      <c r="D28" s="1284" t="s">
        <v>202</v>
      </c>
      <c r="E28" s="1284"/>
      <c r="F28" s="5316"/>
      <c r="I28" s="5473"/>
      <c r="J28" s="1212"/>
      <c r="K28" s="294"/>
      <c r="L28" s="1199"/>
      <c r="M28" s="225" t="s">
        <v>505</v>
      </c>
      <c r="N28" s="305"/>
      <c r="O28" s="305"/>
      <c r="P28" s="305"/>
      <c r="Q28" s="305"/>
      <c r="R28" s="305"/>
      <c r="S28" s="305"/>
      <c r="T28" s="305"/>
      <c r="U28" s="305"/>
      <c r="V28" s="304"/>
      <c r="W28" s="305"/>
      <c r="X28" s="241"/>
      <c r="Z28" s="438"/>
      <c r="AA28" s="438" t="str">
        <f t="shared" si="0"/>
        <v>Добавить группу потребителей</v>
      </c>
      <c r="AB28" s="438"/>
      <c r="AC28" s="438"/>
      <c r="AD28" s="1076">
        <v>15</v>
      </c>
    </row>
    <row r="29" spans="1:30" ht="14.65" customHeight="1">
      <c r="A29" s="1284" t="s">
        <v>199</v>
      </c>
      <c r="B29" s="1284" t="s">
        <v>200</v>
      </c>
      <c r="C29" s="1284" t="s">
        <v>201</v>
      </c>
      <c r="D29" s="1284" t="s">
        <v>202</v>
      </c>
      <c r="E29" s="1284"/>
      <c r="F29" s="1286"/>
      <c r="G29" s="1286"/>
      <c r="H29" s="475"/>
      <c r="I29" s="298"/>
      <c r="J29" s="313"/>
      <c r="K29" s="293"/>
      <c r="L29" s="1199"/>
      <c r="M29" s="303" t="s">
        <v>506</v>
      </c>
      <c r="N29" s="305"/>
      <c r="O29" s="305"/>
      <c r="P29" s="305"/>
      <c r="Q29" s="305"/>
      <c r="R29" s="305"/>
      <c r="S29" s="305"/>
      <c r="T29" s="305"/>
      <c r="U29" s="305"/>
      <c r="V29" s="304"/>
      <c r="W29" s="305"/>
      <c r="X29" s="241"/>
      <c r="Z29" s="438"/>
      <c r="AA29" s="438" t="str">
        <f t="shared" si="0"/>
        <v>Добавить схему подключения</v>
      </c>
      <c r="AB29" s="438"/>
      <c r="AC29" s="438"/>
      <c r="AD29" s="1076">
        <v>14</v>
      </c>
    </row>
    <row r="30" spans="1:30" ht="14.65" customHeight="1">
      <c r="A30" s="1284" t="s">
        <v>199</v>
      </c>
      <c r="B30" s="1284" t="s">
        <v>200</v>
      </c>
      <c r="C30" s="1284" t="s">
        <v>201</v>
      </c>
      <c r="D30" s="1284"/>
      <c r="E30" s="1284" t="s">
        <v>678</v>
      </c>
      <c r="F30" s="1286"/>
      <c r="G30" s="1286"/>
      <c r="H30" s="475"/>
      <c r="I30" s="298"/>
      <c r="J30" s="313"/>
      <c r="K30" s="293"/>
      <c r="L30" s="1200"/>
      <c r="M30" s="1189"/>
      <c r="N30" s="1190"/>
      <c r="O30" s="1190"/>
      <c r="P30" s="1190"/>
      <c r="Q30" s="1190"/>
      <c r="R30" s="1190"/>
      <c r="S30" s="1190"/>
      <c r="T30" s="1190"/>
      <c r="U30" s="1190"/>
      <c r="V30" s="1191"/>
      <c r="W30" s="1190"/>
      <c r="X30" s="1192"/>
      <c r="Z30" s="438"/>
      <c r="AA30" s="438" t="str">
        <f t="shared" si="0"/>
        <v/>
      </c>
      <c r="AB30" s="438"/>
      <c r="AC30" s="438"/>
      <c r="AD30" s="1076">
        <v>14</v>
      </c>
    </row>
    <row r="31" spans="1:30" ht="14.65" customHeight="1">
      <c r="A31" s="1284" t="s">
        <v>199</v>
      </c>
      <c r="B31" s="1284" t="s">
        <v>200</v>
      </c>
      <c r="C31" s="1284"/>
      <c r="D31" s="1284"/>
      <c r="E31" s="1284" t="s">
        <v>2326</v>
      </c>
      <c r="F31" s="1438"/>
      <c r="G31" s="1438"/>
      <c r="H31" s="475"/>
      <c r="I31" s="296"/>
      <c r="J31" s="313"/>
      <c r="K31" s="297"/>
      <c r="L31" s="1200"/>
      <c r="M31" s="1193"/>
      <c r="N31" s="1190"/>
      <c r="O31" s="1190"/>
      <c r="P31" s="1190"/>
      <c r="Q31" s="1190"/>
      <c r="R31" s="1190"/>
      <c r="S31" s="1190"/>
      <c r="T31" s="1190"/>
      <c r="U31" s="1190"/>
      <c r="V31" s="1191"/>
      <c r="W31" s="1190"/>
      <c r="X31" s="1192"/>
      <c r="Z31" s="438"/>
      <c r="AA31" s="438" t="str">
        <f t="shared" si="0"/>
        <v/>
      </c>
      <c r="AB31" s="438"/>
      <c r="AC31" s="438"/>
      <c r="AD31" s="1076">
        <v>14</v>
      </c>
    </row>
    <row r="32" spans="1:30" ht="14.65" customHeight="1">
      <c r="A32" s="1284" t="s">
        <v>2327</v>
      </c>
      <c r="B32" s="1284"/>
      <c r="C32" s="1284"/>
      <c r="D32" s="1284"/>
      <c r="E32" s="1284" t="s">
        <v>140</v>
      </c>
      <c r="F32" s="1438"/>
      <c r="G32" s="1438"/>
      <c r="H32" s="475"/>
      <c r="I32" s="298"/>
      <c r="J32" s="313"/>
      <c r="K32" s="293"/>
      <c r="L32" s="1200"/>
      <c r="M32" s="1194"/>
      <c r="N32" s="1190"/>
      <c r="O32" s="1190"/>
      <c r="P32" s="1190"/>
      <c r="Q32" s="1190"/>
      <c r="R32" s="1190"/>
      <c r="S32" s="1190"/>
      <c r="T32" s="1190"/>
      <c r="U32" s="1190"/>
      <c r="V32" s="1191"/>
      <c r="W32" s="1190"/>
      <c r="X32" s="1192"/>
      <c r="Z32" s="438"/>
      <c r="AA32" s="438" t="str">
        <f t="shared" si="0"/>
        <v/>
      </c>
      <c r="AB32" s="438"/>
      <c r="AC32" s="438"/>
      <c r="AD32" s="1076">
        <v>14</v>
      </c>
    </row>
    <row r="33" spans="1:30" s="4278" customFormat="1" ht="11.45" customHeight="1">
      <c r="A33" s="1284"/>
      <c r="B33" s="1284"/>
      <c r="C33" s="1284"/>
      <c r="D33" s="1284"/>
      <c r="E33" s="1284" t="s">
        <v>361</v>
      </c>
      <c r="F33" s="1439"/>
      <c r="G33" s="1440"/>
      <c r="H33" s="475"/>
      <c r="L33" s="1201"/>
      <c r="M33" s="1195"/>
      <c r="N33" s="1190"/>
      <c r="O33" s="1190"/>
      <c r="P33" s="1190"/>
      <c r="Q33" s="1190"/>
      <c r="R33" s="1190"/>
      <c r="S33" s="1190"/>
      <c r="T33" s="1190"/>
      <c r="U33" s="1190"/>
      <c r="V33" s="1191"/>
      <c r="W33" s="1190"/>
      <c r="X33" s="1192"/>
      <c r="Y33" s="317"/>
      <c r="Z33" s="317"/>
      <c r="AA33" s="317"/>
      <c r="AB33" s="317"/>
      <c r="AC33" s="317"/>
      <c r="AD33" s="311">
        <v>11</v>
      </c>
    </row>
    <row r="34" spans="1:30" ht="11.45" customHeight="1">
      <c r="F34" s="1081"/>
      <c r="G34" s="1081"/>
      <c r="H34" s="475"/>
      <c r="I34" s="1076"/>
      <c r="J34" s="1076"/>
      <c r="K34" s="1076"/>
      <c r="Y34" s="1076"/>
      <c r="Z34" s="1076"/>
      <c r="AA34" s="1076"/>
      <c r="AB34" s="1076"/>
      <c r="AC34" s="1076"/>
      <c r="AD34" s="1076">
        <v>11</v>
      </c>
    </row>
    <row r="35" spans="1:30" ht="28.5" customHeight="1">
      <c r="H35" s="475"/>
      <c r="L35" s="1209" t="s">
        <v>895</v>
      </c>
      <c r="M35" s="5468" t="s">
        <v>2328</v>
      </c>
      <c r="N35" s="5468"/>
      <c r="O35" s="5468"/>
      <c r="P35" s="5468"/>
      <c r="Q35" s="5468"/>
      <c r="R35" s="5468"/>
      <c r="S35" s="5468"/>
      <c r="T35" s="5468"/>
      <c r="U35" s="5468"/>
      <c r="V35" s="5468"/>
      <c r="W35" s="5468"/>
      <c r="X35" s="5468"/>
      <c r="AD35" s="1076">
        <v>27</v>
      </c>
    </row>
    <row r="36" spans="1:30" ht="109.15" customHeight="1">
      <c r="H36" s="475"/>
      <c r="I36" s="1224"/>
      <c r="M36" s="5468" t="s">
        <v>2329</v>
      </c>
      <c r="N36" s="5468"/>
      <c r="O36" s="5468"/>
      <c r="P36" s="5468"/>
      <c r="Q36" s="5468"/>
      <c r="R36" s="5468"/>
      <c r="S36" s="5468"/>
      <c r="T36" s="5468"/>
      <c r="U36" s="5468"/>
      <c r="V36" s="5468"/>
      <c r="W36" s="5468"/>
      <c r="X36" s="5468"/>
      <c r="AD36" s="1076">
        <v>104</v>
      </c>
    </row>
    <row r="37" spans="1:30" ht="14.65" customHeight="1">
      <c r="H37" s="475"/>
      <c r="AD37" s="1076">
        <v>14</v>
      </c>
    </row>
    <row r="38" spans="1:30" ht="14.65" customHeight="1">
      <c r="H38" s="475"/>
      <c r="AD38" s="1076">
        <v>14</v>
      </c>
    </row>
    <row r="39" spans="1:30" ht="14.65" customHeight="1">
      <c r="H39" s="475"/>
      <c r="AD39" s="1076">
        <v>14</v>
      </c>
    </row>
    <row r="40" spans="1:30" ht="14.65" customHeight="1">
      <c r="H40" s="475"/>
      <c r="AD40" s="1076">
        <v>14</v>
      </c>
    </row>
    <row r="41" spans="1:30" ht="22.5" hidden="1" customHeight="1">
      <c r="A41" s="1081" t="s">
        <v>82</v>
      </c>
      <c r="B41" s="1081">
        <v>0</v>
      </c>
      <c r="C41" s="1081">
        <v>0</v>
      </c>
      <c r="D41" s="1081">
        <v>0</v>
      </c>
      <c r="E41" s="1081">
        <v>0</v>
      </c>
      <c r="F41" s="1283">
        <v>0</v>
      </c>
      <c r="G41" s="1283">
        <v>0</v>
      </c>
      <c r="H41" s="1283">
        <v>0</v>
      </c>
      <c r="I41" s="1207">
        <v>3</v>
      </c>
      <c r="J41" s="282">
        <v>3</v>
      </c>
      <c r="K41" s="282">
        <v>3</v>
      </c>
      <c r="L41" s="519">
        <v>12</v>
      </c>
      <c r="M41" s="1076">
        <v>31</v>
      </c>
      <c r="N41" s="1076">
        <v>1</v>
      </c>
      <c r="O41" s="1076">
        <v>24</v>
      </c>
      <c r="P41" s="1076">
        <v>24</v>
      </c>
      <c r="Q41" s="1076">
        <v>24</v>
      </c>
      <c r="R41" s="1076">
        <v>24</v>
      </c>
      <c r="S41" s="1076">
        <v>11</v>
      </c>
      <c r="T41" s="1076">
        <v>3</v>
      </c>
      <c r="U41" s="1076">
        <v>11</v>
      </c>
      <c r="V41" s="1076">
        <v>8</v>
      </c>
      <c r="W41" s="1076">
        <v>4</v>
      </c>
      <c r="X41" s="1076">
        <v>115</v>
      </c>
      <c r="Y41" s="449">
        <v>10</v>
      </c>
      <c r="Z41" s="449">
        <v>10</v>
      </c>
      <c r="AA41" s="449">
        <v>10</v>
      </c>
      <c r="AB41" s="449">
        <v>10</v>
      </c>
      <c r="AC41" s="449">
        <v>10</v>
      </c>
      <c r="AD41" s="1076">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4295" hidden="1" customWidth="1"/>
    <col min="2" max="2" width="15" style="4293" hidden="1" customWidth="1"/>
    <col min="3" max="3" width="3" style="4296" customWidth="1"/>
    <col min="4" max="4" width="6" style="4297" customWidth="1"/>
    <col min="5" max="5" width="52" style="4296" customWidth="1"/>
    <col min="6" max="6" width="48" style="4296" customWidth="1"/>
    <col min="7" max="7" width="121" style="4296" customWidth="1"/>
    <col min="8" max="8" width="8" style="4296" customWidth="1"/>
    <col min="9" max="9" width="64" style="4296" customWidth="1"/>
    <col min="10" max="10" width="9.140625" style="4296" hidden="1"/>
  </cols>
  <sheetData>
    <row r="1" spans="1:10" ht="11.25" hidden="1" customHeight="1">
      <c r="A1" s="1607" t="s">
        <v>392</v>
      </c>
      <c r="J1" s="393" t="s">
        <v>14</v>
      </c>
    </row>
    <row r="2" spans="1:10" ht="11.25" hidden="1" customHeight="1">
      <c r="J2" s="393">
        <v>0</v>
      </c>
    </row>
    <row r="3" spans="1:10" s="4292" customFormat="1" ht="11.45" customHeight="1">
      <c r="A3" s="1607"/>
      <c r="B3" s="439"/>
      <c r="D3" s="416"/>
      <c r="J3" s="415">
        <v>11</v>
      </c>
    </row>
    <row r="4" spans="1:10" ht="27.4" customHeight="1">
      <c r="D4" s="5383" t="str">
        <f>ORG_INFO_NAME_FORM</f>
        <v>Форма 1. Информация об организации, осуществляющей водоотведение (общая информация)</v>
      </c>
      <c r="E4" s="5384"/>
      <c r="F4" s="5385"/>
      <c r="I4" s="653"/>
      <c r="J4" s="393">
        <v>26</v>
      </c>
    </row>
    <row r="5" spans="1:10" ht="18" customHeight="1">
      <c r="D5" s="5423" t="str">
        <f>IF(org=0,"Не определено",org)</f>
        <v>КГУП "Примтеплоэнерго"</v>
      </c>
      <c r="E5" s="5423"/>
      <c r="F5" s="5423"/>
      <c r="I5" s="653"/>
      <c r="J5" s="393">
        <v>17</v>
      </c>
    </row>
    <row r="6" spans="1:10" s="4292" customFormat="1" ht="11.45" customHeight="1">
      <c r="A6" s="1607"/>
      <c r="B6" s="439"/>
      <c r="D6" s="652"/>
      <c r="E6" s="652"/>
      <c r="F6" s="690"/>
      <c r="G6" s="652"/>
      <c r="J6" s="415">
        <v>11</v>
      </c>
    </row>
    <row r="7" spans="1:10" ht="11.25" hidden="1" customHeight="1">
      <c r="A7" s="395"/>
      <c r="B7" s="440"/>
      <c r="C7" s="395"/>
      <c r="D7" s="401"/>
      <c r="E7" s="5429"/>
      <c r="F7" s="5429"/>
      <c r="J7" s="393">
        <v>0</v>
      </c>
    </row>
    <row r="8" spans="1:10" ht="11.45" customHeight="1">
      <c r="A8" s="395"/>
      <c r="B8" s="440"/>
      <c r="C8" s="395"/>
      <c r="D8" s="5426" t="s">
        <v>393</v>
      </c>
      <c r="E8" s="5427"/>
      <c r="F8" s="5427"/>
      <c r="G8" s="5430" t="s">
        <v>394</v>
      </c>
      <c r="J8" s="393">
        <v>11</v>
      </c>
    </row>
    <row r="9" spans="1:10" ht="11.45" customHeight="1">
      <c r="A9" s="395"/>
      <c r="B9" s="440"/>
      <c r="C9" s="395"/>
      <c r="D9" s="410" t="s">
        <v>88</v>
      </c>
      <c r="E9" s="384" t="s">
        <v>395</v>
      </c>
      <c r="F9" s="384" t="s">
        <v>396</v>
      </c>
      <c r="G9" s="5431"/>
      <c r="J9" s="393">
        <v>11</v>
      </c>
    </row>
    <row r="10" spans="1:10" ht="12" hidden="1" customHeight="1">
      <c r="A10" s="395"/>
      <c r="B10" s="440"/>
      <c r="C10" s="395"/>
      <c r="D10" s="402"/>
      <c r="E10" s="402"/>
      <c r="F10" s="402"/>
      <c r="G10" s="402"/>
      <c r="J10" s="393">
        <v>0</v>
      </c>
    </row>
    <row r="11" spans="1:10" ht="22.5" hidden="1" customHeight="1">
      <c r="A11" s="395"/>
      <c r="B11" s="440"/>
      <c r="C11" s="395"/>
      <c r="D11" s="934" t="s">
        <v>136</v>
      </c>
      <c r="E11" s="937" t="s">
        <v>397</v>
      </c>
      <c r="F11" s="936" t="str">
        <f>IF(region_name="","",region_name)</f>
        <v>Приморский край</v>
      </c>
      <c r="G11" s="937" t="s">
        <v>398</v>
      </c>
      <c r="H11" s="413"/>
      <c r="J11" s="393">
        <v>0</v>
      </c>
    </row>
    <row r="12" spans="1:10" ht="22.5" hidden="1" customHeight="1">
      <c r="A12" s="395"/>
      <c r="B12" s="440"/>
      <c r="C12" s="395"/>
      <c r="D12" s="383" t="s">
        <v>136</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399</v>
      </c>
      <c r="G12" s="412"/>
      <c r="H12" s="413"/>
      <c r="J12" s="393">
        <v>0</v>
      </c>
    </row>
    <row r="13" spans="1:10" ht="23.25" customHeight="1">
      <c r="A13" s="395"/>
      <c r="B13" s="440"/>
      <c r="C13" s="395"/>
      <c r="D13" s="383" t="s">
        <v>136</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34" t="s">
        <v>400</v>
      </c>
      <c r="E14" s="935" t="s">
        <v>401</v>
      </c>
      <c r="F14" s="936" t="str">
        <f>IF(inn="","",inn)</f>
        <v>2536112729</v>
      </c>
      <c r="G14" s="937" t="s">
        <v>402</v>
      </c>
      <c r="H14" s="413"/>
      <c r="J14" s="393">
        <v>0</v>
      </c>
    </row>
    <row r="15" spans="1:10" ht="22.5" hidden="1" customHeight="1">
      <c r="A15" s="395"/>
      <c r="B15" s="440"/>
      <c r="C15" s="395"/>
      <c r="D15" s="934" t="s">
        <v>403</v>
      </c>
      <c r="E15" s="935" t="s">
        <v>404</v>
      </c>
      <c r="F15" s="936" t="str">
        <f>IF(kpp="","",kpp)</f>
        <v>250202002</v>
      </c>
      <c r="G15" s="937" t="s">
        <v>405</v>
      </c>
      <c r="H15" s="413"/>
      <c r="J15" s="393">
        <v>0</v>
      </c>
    </row>
    <row r="16" spans="1:10" ht="39" customHeight="1">
      <c r="A16" s="395"/>
      <c r="B16" s="440"/>
      <c r="C16" s="395"/>
      <c r="D16" s="383" t="s">
        <v>103</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90</v>
      </c>
      <c r="E17" s="380" t="str">
        <f>"Дата присвоения ОГРН"&amp;IF(TEMPLATE_SPHERE="TKO",""," (ОГРНИП)")</f>
        <v>Дата присвоения ОГРН (ОГРНИП)</v>
      </c>
      <c r="F17" s="1652"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5424" t="s">
        <v>406</v>
      </c>
      <c r="B19" s="440"/>
      <c r="C19" s="5435"/>
      <c r="D19" s="383" t="str">
        <f>A19</f>
        <v>5.1</v>
      </c>
      <c r="E19" s="380" t="s">
        <v>407</v>
      </c>
      <c r="F19" s="381" t="s">
        <v>399</v>
      </c>
      <c r="G19" s="382" t="s">
        <v>408</v>
      </c>
      <c r="H19" s="413"/>
      <c r="I19" s="780"/>
      <c r="J19" s="393">
        <v>0</v>
      </c>
    </row>
    <row r="20" spans="1:10" ht="24" hidden="1" customHeight="1">
      <c r="A20" s="5424"/>
      <c r="B20" s="440"/>
      <c r="C20" s="5435"/>
      <c r="D20" s="378" t="str">
        <f>D19&amp;".1"</f>
        <v>5.1.1</v>
      </c>
      <c r="E20" s="377" t="s">
        <v>409</v>
      </c>
      <c r="F20" s="808" t="s">
        <v>28</v>
      </c>
      <c r="G20" s="412"/>
      <c r="H20" s="413"/>
      <c r="I20" s="780"/>
      <c r="J20" s="393">
        <v>0</v>
      </c>
    </row>
    <row r="21" spans="1:10" ht="22.5" hidden="1" customHeight="1">
      <c r="A21" s="5424"/>
      <c r="B21" s="440"/>
      <c r="C21" s="5435"/>
      <c r="D21" s="378" t="str">
        <f>D19&amp;".2"</f>
        <v>5.1.2</v>
      </c>
      <c r="E21" s="377" t="s">
        <v>410</v>
      </c>
      <c r="F21" s="1653" t="s">
        <v>28</v>
      </c>
      <c r="G21" s="382" t="s">
        <v>411</v>
      </c>
      <c r="H21" s="413"/>
      <c r="I21" s="780"/>
      <c r="J21" s="393">
        <v>0</v>
      </c>
    </row>
    <row r="22" spans="1:10" ht="22.5" hidden="1" customHeight="1">
      <c r="A22" s="5424"/>
      <c r="B22" s="440"/>
      <c r="C22" s="5435"/>
      <c r="D22" s="378" t="str">
        <f>D19&amp;".3"</f>
        <v>5.1.3</v>
      </c>
      <c r="E22" s="377" t="s">
        <v>412</v>
      </c>
      <c r="F22" s="808" t="s">
        <v>28</v>
      </c>
      <c r="G22" s="412"/>
      <c r="H22" s="413"/>
      <c r="I22" s="780"/>
      <c r="J22" s="393">
        <v>0</v>
      </c>
    </row>
    <row r="23" spans="1:10" ht="22.5" hidden="1" customHeight="1">
      <c r="A23" s="5424"/>
      <c r="B23" s="440"/>
      <c r="C23" s="5435"/>
      <c r="D23" s="378" t="str">
        <f>D19&amp;".4"</f>
        <v>5.1.4</v>
      </c>
      <c r="E23" s="377" t="s">
        <v>413</v>
      </c>
      <c r="F23" s="808" t="s">
        <v>28</v>
      </c>
      <c r="G23" s="382" t="s">
        <v>414</v>
      </c>
      <c r="H23" s="413"/>
      <c r="I23" s="780"/>
      <c r="J23" s="393">
        <v>0</v>
      </c>
    </row>
    <row r="24" spans="1:10" ht="22.5" hidden="1" customHeight="1">
      <c r="A24" s="1893"/>
      <c r="B24" s="440"/>
      <c r="C24" s="430"/>
      <c r="D24" s="405"/>
      <c r="E24" s="1089" t="s">
        <v>415</v>
      </c>
      <c r="F24" s="406"/>
      <c r="G24" s="407"/>
      <c r="H24" s="413"/>
      <c r="I24" s="780"/>
      <c r="J24" s="393">
        <v>0</v>
      </c>
    </row>
    <row r="25" spans="1:10" s="4293" customFormat="1" ht="24.75" hidden="1" customHeight="1">
      <c r="A25" s="395"/>
      <c r="B25" s="440"/>
      <c r="C25" s="440"/>
      <c r="D25" s="931" t="s">
        <v>90</v>
      </c>
      <c r="E25" s="933" t="s">
        <v>416</v>
      </c>
      <c r="F25" s="938" t="s">
        <v>399</v>
      </c>
      <c r="G25" s="933"/>
      <c r="J25" s="439">
        <v>0</v>
      </c>
    </row>
    <row r="26" spans="1:10" s="4293" customFormat="1" ht="11.25" hidden="1" customHeight="1">
      <c r="A26" s="395"/>
      <c r="B26" s="440"/>
      <c r="C26" s="440"/>
      <c r="D26" s="931" t="s">
        <v>417</v>
      </c>
      <c r="E26" s="932" t="s">
        <v>418</v>
      </c>
      <c r="F26" s="938" t="s">
        <v>399</v>
      </c>
      <c r="G26" s="933"/>
      <c r="J26" s="439">
        <v>0</v>
      </c>
    </row>
    <row r="27" spans="1:10" s="4293" customFormat="1" ht="11.25" hidden="1" customHeight="1">
      <c r="A27" s="395"/>
      <c r="B27" s="440"/>
      <c r="C27" s="440"/>
      <c r="D27" s="931" t="s">
        <v>419</v>
      </c>
      <c r="E27" s="939" t="s">
        <v>420</v>
      </c>
      <c r="F27" s="940"/>
      <c r="G27" s="93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293" customFormat="1" ht="11.25" hidden="1" customHeight="1">
      <c r="A28" s="395"/>
      <c r="B28" s="440"/>
      <c r="C28" s="440"/>
      <c r="D28" s="931" t="s">
        <v>421</v>
      </c>
      <c r="E28" s="939" t="s">
        <v>422</v>
      </c>
      <c r="F28" s="940"/>
      <c r="G28" s="93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293" customFormat="1" ht="11.25" hidden="1" customHeight="1">
      <c r="A29" s="395"/>
      <c r="B29" s="440"/>
      <c r="C29" s="440"/>
      <c r="D29" s="931" t="s">
        <v>423</v>
      </c>
      <c r="E29" s="939" t="s">
        <v>424</v>
      </c>
      <c r="F29" s="940"/>
      <c r="G29" s="93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293" customFormat="1" ht="11.25" hidden="1" customHeight="1">
      <c r="A30" s="395"/>
      <c r="B30" s="440"/>
      <c r="C30" s="440"/>
      <c r="D30" s="931" t="s">
        <v>425</v>
      </c>
      <c r="E30" s="932" t="s">
        <v>426</v>
      </c>
      <c r="F30" s="940"/>
      <c r="G30" s="933"/>
      <c r="J30" s="439">
        <v>0</v>
      </c>
    </row>
    <row r="31" spans="1:10" s="4293" customFormat="1" ht="11.25" hidden="1" customHeight="1">
      <c r="A31" s="395"/>
      <c r="B31" s="440"/>
      <c r="C31" s="440"/>
      <c r="D31" s="931" t="s">
        <v>427</v>
      </c>
      <c r="E31" s="932" t="s">
        <v>428</v>
      </c>
      <c r="F31" s="940"/>
      <c r="G31" s="933"/>
      <c r="J31" s="439">
        <v>0</v>
      </c>
    </row>
    <row r="32" spans="1:10" s="4293" customFormat="1" ht="11.25" hidden="1" customHeight="1">
      <c r="A32" s="395"/>
      <c r="B32" s="440"/>
      <c r="C32" s="440"/>
      <c r="D32" s="931" t="s">
        <v>429</v>
      </c>
      <c r="E32" s="932" t="s">
        <v>430</v>
      </c>
      <c r="F32" s="941"/>
      <c r="G32" s="933"/>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399</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431</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431</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399</v>
      </c>
      <c r="G39" s="543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26"/>
      <c r="F40" s="808"/>
      <c r="G40" s="5433"/>
      <c r="H40" s="413"/>
      <c r="J40" s="393">
        <v>0</v>
      </c>
    </row>
    <row r="41" spans="1:10" ht="23.25" customHeight="1">
      <c r="A41" s="395"/>
      <c r="B41" s="395"/>
      <c r="C41" s="1609"/>
      <c r="D41" s="378" t="str">
        <f>D39&amp;".1"</f>
        <v>8.1</v>
      </c>
      <c r="E41" s="788"/>
      <c r="F41" s="789"/>
      <c r="G41" s="5433"/>
      <c r="H41" s="413"/>
      <c r="J41" s="393">
        <v>22</v>
      </c>
    </row>
    <row r="42" spans="1:10" ht="15.75" customHeight="1">
      <c r="A42" s="395"/>
      <c r="B42" s="440"/>
      <c r="C42" s="395"/>
      <c r="D42" s="405"/>
      <c r="E42" s="353" t="s">
        <v>432</v>
      </c>
      <c r="F42" s="407"/>
      <c r="G42" s="5434"/>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0"/>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433</v>
      </c>
      <c r="H44" s="413"/>
      <c r="J44" s="393">
        <v>22</v>
      </c>
    </row>
    <row r="45" spans="1:10" ht="23.25" customHeight="1">
      <c r="A45" s="395"/>
      <c r="B45" s="440"/>
      <c r="C45" s="395"/>
      <c r="D45" s="378">
        <f>D44+1</f>
        <v>11</v>
      </c>
      <c r="E45" s="376" t="s">
        <v>434</v>
      </c>
      <c r="F45" s="381" t="s">
        <v>399</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05"/>
      <c r="G46" s="375" t="s">
        <v>435</v>
      </c>
      <c r="H46" s="413"/>
      <c r="J46" s="393">
        <v>23</v>
      </c>
    </row>
    <row r="47" spans="1:10" ht="24" customHeight="1">
      <c r="A47" s="5424"/>
      <c r="B47" s="440"/>
      <c r="C47" s="430"/>
      <c r="D47" s="378" t="str">
        <f>D45&amp;".2"</f>
        <v>11.2</v>
      </c>
      <c r="E47" s="380" t="s">
        <v>436</v>
      </c>
      <c r="F47" s="428"/>
      <c r="G47" s="375" t="s">
        <v>437</v>
      </c>
      <c r="H47" s="413"/>
      <c r="J47" s="393">
        <v>23</v>
      </c>
    </row>
    <row r="48" spans="1:10" ht="24" customHeight="1">
      <c r="A48" s="5424"/>
      <c r="B48" s="440"/>
      <c r="C48" s="430"/>
      <c r="D48" s="378" t="str">
        <f>D45&amp;".3"</f>
        <v>11.3</v>
      </c>
      <c r="E48" s="380" t="s">
        <v>438</v>
      </c>
      <c r="F48" s="428"/>
      <c r="G48" s="375" t="s">
        <v>439</v>
      </c>
      <c r="H48" s="413"/>
      <c r="J48" s="393">
        <v>23</v>
      </c>
    </row>
    <row r="49" spans="1:10" ht="24" customHeight="1">
      <c r="A49" s="5424"/>
      <c r="B49" s="440"/>
      <c r="C49" s="430"/>
      <c r="D49" s="378" t="str">
        <f>IF(TEMPLATE_SPHERE="TKO",D45&amp;".0",D45&amp;".4")</f>
        <v>11.4</v>
      </c>
      <c r="E49" s="374" t="s">
        <v>440</v>
      </c>
      <c r="F49" s="1606"/>
      <c r="G49" s="1682" t="s">
        <v>441</v>
      </c>
      <c r="H49" s="413"/>
      <c r="J49" s="393">
        <v>23</v>
      </c>
    </row>
    <row r="50" spans="1:10" ht="24" customHeight="1">
      <c r="A50" s="395"/>
      <c r="B50" s="440"/>
      <c r="C50" s="395"/>
      <c r="D50" s="405"/>
      <c r="E50" s="353" t="s">
        <v>442</v>
      </c>
      <c r="F50" s="406"/>
      <c r="G50" s="1682" t="s">
        <v>443</v>
      </c>
      <c r="H50" s="414"/>
      <c r="J50" s="393">
        <v>23</v>
      </c>
    </row>
    <row r="51" spans="1:10" ht="24" customHeight="1">
      <c r="A51" s="786"/>
      <c r="B51" s="440"/>
      <c r="C51" s="430"/>
      <c r="D51" s="378">
        <f>D45+1</f>
        <v>12</v>
      </c>
      <c r="E51" s="466" t="s">
        <v>444</v>
      </c>
      <c r="F51" s="428"/>
      <c r="G51" s="161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4294" customFormat="1" ht="31.5" customHeight="1">
      <c r="A53" s="1608"/>
      <c r="B53" s="441"/>
      <c r="C53" s="5425"/>
      <c r="D53" s="542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5428"/>
      <c r="F53" s="5428"/>
      <c r="G53" s="5428"/>
      <c r="H53" s="392"/>
      <c r="I53" s="392"/>
      <c r="J53" s="398">
        <v>30</v>
      </c>
    </row>
    <row r="54" spans="1:10" s="4294" customFormat="1" ht="42" customHeight="1">
      <c r="A54" s="395"/>
      <c r="B54" s="440"/>
      <c r="C54" s="5425"/>
      <c r="D54" s="542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5428"/>
      <c r="F54" s="5428"/>
      <c r="G54" s="5428"/>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07" t="s">
        <v>82</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7"/>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5287" customWidth="1"/>
    <col min="2" max="2" width="8.7109375" style="5287" customWidth="1"/>
    <col min="3" max="3" width="18.140625" style="5287" customWidth="1"/>
    <col min="4" max="4" width="12.5703125" style="5287" customWidth="1"/>
  </cols>
  <sheetData>
    <row r="1" spans="1:5" ht="11.25" customHeight="1">
      <c r="A1" s="1993" t="s">
        <v>2330</v>
      </c>
      <c r="B1" s="1994" t="s">
        <v>2331</v>
      </c>
      <c r="C1" s="5746" t="s">
        <v>2332</v>
      </c>
      <c r="D1" s="5747"/>
      <c r="E1" s="768" t="s">
        <v>2333</v>
      </c>
    </row>
    <row r="2" spans="1:5" ht="11.25" customHeight="1">
      <c r="A2" s="1995"/>
      <c r="B2" s="701" t="s">
        <v>26</v>
      </c>
      <c r="C2" s="691"/>
      <c r="D2" s="700"/>
      <c r="E2" s="768"/>
    </row>
    <row r="3" spans="1:5" ht="11.25" customHeight="1">
      <c r="A3" s="1996"/>
      <c r="B3" s="1997" t="s">
        <v>33</v>
      </c>
      <c r="C3" s="691"/>
      <c r="D3" s="700"/>
      <c r="E3" s="768"/>
    </row>
    <row r="4" spans="1:5" ht="11.25" customHeight="1">
      <c r="A4" s="1998"/>
      <c r="B4" s="702" t="s">
        <v>1756</v>
      </c>
      <c r="C4" s="691"/>
      <c r="D4" s="700"/>
      <c r="E4" s="768"/>
    </row>
    <row r="5" spans="1:5" ht="11.25" customHeight="1">
      <c r="A5" s="1999"/>
      <c r="B5" s="702" t="s">
        <v>1751</v>
      </c>
      <c r="C5" s="2000" t="s">
        <v>2097</v>
      </c>
      <c r="D5" s="2001" t="s">
        <v>2334</v>
      </c>
      <c r="E5" s="768"/>
    </row>
    <row r="6" spans="1:5" s="4278" customFormat="1" ht="11.25" customHeight="1">
      <c r="A6" s="2002"/>
      <c r="B6" s="702" t="s">
        <v>1760</v>
      </c>
      <c r="C6" s="691"/>
      <c r="D6" s="700"/>
      <c r="E6" s="768"/>
    </row>
    <row r="7" spans="1:5" ht="11.25" customHeight="1">
      <c r="A7" s="2003"/>
      <c r="B7" s="702" t="s">
        <v>1767</v>
      </c>
      <c r="C7" s="691"/>
      <c r="D7" s="700"/>
      <c r="E7" s="768"/>
    </row>
    <row r="8" spans="1:5" ht="11.25" customHeight="1">
      <c r="A8" s="693"/>
      <c r="B8" s="702" t="s">
        <v>1763</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4278"/>
    <col min="3" max="3" width="20.7109375" style="4278" customWidth="1"/>
    <col min="4" max="4" width="25.140625" style="4278" customWidth="1"/>
    <col min="5" max="9" width="9.140625" style="4278"/>
  </cols>
  <sheetData>
    <row r="1" spans="1:9" ht="11.25" customHeight="1">
      <c r="A1" s="9" t="s">
        <v>2335</v>
      </c>
      <c r="B1" s="9" t="s">
        <v>2336</v>
      </c>
      <c r="C1" s="9" t="s">
        <v>2337</v>
      </c>
      <c r="D1" s="9" t="s">
        <v>2338</v>
      </c>
      <c r="E1" s="9" t="s">
        <v>2339</v>
      </c>
      <c r="F1" s="9" t="s">
        <v>2340</v>
      </c>
      <c r="G1" s="9" t="s">
        <v>2341</v>
      </c>
      <c r="H1" s="9" t="s">
        <v>2342</v>
      </c>
      <c r="I1" s="9" t="s">
        <v>2343</v>
      </c>
    </row>
    <row r="2" spans="1:9" ht="11.25" customHeight="1">
      <c r="A2" s="2011" t="s">
        <v>2344</v>
      </c>
      <c r="B2" s="2011" t="s">
        <v>16</v>
      </c>
      <c r="C2" s="2011" t="s">
        <v>28</v>
      </c>
      <c r="D2" s="2011" t="s">
        <v>2345</v>
      </c>
      <c r="E2" s="2011" t="s">
        <v>2346</v>
      </c>
      <c r="F2" s="2011" t="s">
        <v>2347</v>
      </c>
      <c r="G2" s="2011" t="s">
        <v>28</v>
      </c>
      <c r="H2" s="2011" t="s">
        <v>28</v>
      </c>
      <c r="I2" s="2011" t="s">
        <v>899</v>
      </c>
    </row>
    <row r="3" spans="1:9" ht="11.25" customHeight="1">
      <c r="A3" s="2011" t="s">
        <v>2344</v>
      </c>
      <c r="B3" s="2011" t="s">
        <v>16</v>
      </c>
      <c r="C3" s="2011" t="s">
        <v>2348</v>
      </c>
      <c r="D3" s="2011" t="s">
        <v>2349</v>
      </c>
      <c r="E3" s="2011" t="s">
        <v>2350</v>
      </c>
      <c r="F3" s="2011" t="s">
        <v>2351</v>
      </c>
      <c r="G3" s="2011" t="s">
        <v>28</v>
      </c>
      <c r="H3" s="2011" t="s">
        <v>28</v>
      </c>
      <c r="I3" s="2011" t="s">
        <v>899</v>
      </c>
    </row>
    <row r="4" spans="1:9" ht="11.25" customHeight="1">
      <c r="A4" s="2011" t="s">
        <v>2344</v>
      </c>
      <c r="B4" s="2011" t="s">
        <v>16</v>
      </c>
      <c r="C4" s="2011" t="s">
        <v>2352</v>
      </c>
      <c r="D4" s="2011" t="s">
        <v>2353</v>
      </c>
      <c r="E4" s="2011" t="s">
        <v>2354</v>
      </c>
      <c r="F4" s="2011" t="s">
        <v>2355</v>
      </c>
      <c r="G4" s="2011" t="s">
        <v>28</v>
      </c>
      <c r="H4" s="2011" t="s">
        <v>28</v>
      </c>
      <c r="I4" s="2011" t="s">
        <v>899</v>
      </c>
    </row>
    <row r="5" spans="1:9" ht="11.25" customHeight="1">
      <c r="A5" s="2011" t="s">
        <v>2344</v>
      </c>
      <c r="B5" s="2011" t="s">
        <v>16</v>
      </c>
      <c r="C5" s="2011" t="s">
        <v>2356</v>
      </c>
      <c r="D5" s="2011" t="s">
        <v>2357</v>
      </c>
      <c r="E5" s="2011" t="s">
        <v>2358</v>
      </c>
      <c r="F5" s="2011" t="s">
        <v>2359</v>
      </c>
      <c r="G5" s="2011" t="s">
        <v>28</v>
      </c>
      <c r="H5" s="2011" t="s">
        <v>28</v>
      </c>
      <c r="I5" s="2011" t="s">
        <v>899</v>
      </c>
    </row>
    <row r="6" spans="1:9" ht="11.25" customHeight="1">
      <c r="A6" s="2011" t="s">
        <v>2344</v>
      </c>
      <c r="B6" s="2011" t="s">
        <v>16</v>
      </c>
      <c r="C6" s="2011" t="s">
        <v>2360</v>
      </c>
      <c r="D6" s="2011" t="s">
        <v>2361</v>
      </c>
      <c r="E6" s="2011" t="s">
        <v>2362</v>
      </c>
      <c r="F6" s="2011" t="s">
        <v>2363</v>
      </c>
      <c r="G6" s="2011" t="s">
        <v>28</v>
      </c>
      <c r="H6" s="2011" t="s">
        <v>28</v>
      </c>
      <c r="I6" s="2011" t="s">
        <v>899</v>
      </c>
    </row>
    <row r="7" spans="1:9" ht="11.25" customHeight="1">
      <c r="A7" s="2011" t="s">
        <v>2344</v>
      </c>
      <c r="B7" s="2011" t="s">
        <v>16</v>
      </c>
      <c r="C7" s="2011" t="s">
        <v>2364</v>
      </c>
      <c r="D7" s="2011" t="s">
        <v>2361</v>
      </c>
      <c r="E7" s="2011" t="s">
        <v>2362</v>
      </c>
      <c r="F7" s="2011" t="s">
        <v>2365</v>
      </c>
      <c r="G7" s="2011" t="s">
        <v>2366</v>
      </c>
      <c r="H7" s="2011" t="s">
        <v>28</v>
      </c>
      <c r="I7" s="2011" t="s">
        <v>899</v>
      </c>
    </row>
    <row r="8" spans="1:9" ht="11.25" customHeight="1">
      <c r="A8" s="2011" t="s">
        <v>2344</v>
      </c>
      <c r="B8" s="2011" t="s">
        <v>16</v>
      </c>
      <c r="C8" s="2011" t="s">
        <v>2367</v>
      </c>
      <c r="D8" s="2011" t="s">
        <v>2368</v>
      </c>
      <c r="E8" s="2011" t="s">
        <v>2362</v>
      </c>
      <c r="F8" s="2011" t="s">
        <v>2369</v>
      </c>
      <c r="G8" s="2011" t="s">
        <v>28</v>
      </c>
      <c r="H8" s="2011" t="s">
        <v>28</v>
      </c>
      <c r="I8" s="2011" t="s">
        <v>899</v>
      </c>
    </row>
    <row r="9" spans="1:9" ht="11.25" customHeight="1">
      <c r="A9" s="2011" t="s">
        <v>2344</v>
      </c>
      <c r="B9" s="2011" t="s">
        <v>16</v>
      </c>
      <c r="C9" s="2011" t="s">
        <v>2370</v>
      </c>
      <c r="D9" s="2011" t="s">
        <v>2371</v>
      </c>
      <c r="E9" s="2011" t="s">
        <v>2362</v>
      </c>
      <c r="F9" s="2011" t="s">
        <v>2372</v>
      </c>
      <c r="G9" s="2011" t="s">
        <v>28</v>
      </c>
      <c r="H9" s="2011" t="s">
        <v>28</v>
      </c>
      <c r="I9" s="2011" t="s">
        <v>899</v>
      </c>
    </row>
    <row r="10" spans="1:9" ht="11.25" customHeight="1">
      <c r="A10" s="2011" t="s">
        <v>2344</v>
      </c>
      <c r="B10" s="2011" t="s">
        <v>16</v>
      </c>
      <c r="C10" s="2011" t="s">
        <v>2373</v>
      </c>
      <c r="D10" s="2011" t="s">
        <v>2374</v>
      </c>
      <c r="E10" s="2011" t="s">
        <v>2375</v>
      </c>
      <c r="F10" s="2011" t="s">
        <v>2376</v>
      </c>
      <c r="G10" s="2011" t="s">
        <v>28</v>
      </c>
      <c r="H10" s="2011" t="s">
        <v>28</v>
      </c>
      <c r="I10" s="2011" t="s">
        <v>899</v>
      </c>
    </row>
    <row r="11" spans="1:9" ht="11.25" customHeight="1">
      <c r="A11" s="2011" t="s">
        <v>2344</v>
      </c>
      <c r="B11" s="2011" t="s">
        <v>16</v>
      </c>
      <c r="C11" s="2011" t="s">
        <v>2377</v>
      </c>
      <c r="D11" s="2011" t="s">
        <v>2378</v>
      </c>
      <c r="E11" s="2011" t="s">
        <v>2379</v>
      </c>
      <c r="F11" s="2011" t="s">
        <v>2380</v>
      </c>
      <c r="G11" s="2011" t="s">
        <v>28</v>
      </c>
      <c r="H11" s="2011" t="s">
        <v>28</v>
      </c>
      <c r="I11" s="2011" t="s">
        <v>899</v>
      </c>
    </row>
    <row r="12" spans="1:9" ht="11.25" customHeight="1">
      <c r="A12" s="2011" t="s">
        <v>2344</v>
      </c>
      <c r="B12" s="2011" t="s">
        <v>16</v>
      </c>
      <c r="C12" s="2011" t="s">
        <v>2381</v>
      </c>
      <c r="D12" s="2011" t="s">
        <v>2382</v>
      </c>
      <c r="E12" s="2011" t="s">
        <v>2383</v>
      </c>
      <c r="F12" s="2011" t="s">
        <v>2384</v>
      </c>
      <c r="G12" s="2011" t="s">
        <v>28</v>
      </c>
      <c r="H12" s="2011" t="s">
        <v>28</v>
      </c>
      <c r="I12" s="2011" t="s">
        <v>899</v>
      </c>
    </row>
    <row r="13" spans="1:9" ht="11.25" customHeight="1">
      <c r="A13" s="2011" t="s">
        <v>2344</v>
      </c>
      <c r="B13" s="2011" t="s">
        <v>16</v>
      </c>
      <c r="C13" s="2011" t="s">
        <v>2385</v>
      </c>
      <c r="D13" s="2011" t="s">
        <v>2386</v>
      </c>
      <c r="E13" s="2011" t="s">
        <v>2387</v>
      </c>
      <c r="F13" s="2011" t="s">
        <v>2388</v>
      </c>
      <c r="G13" s="2011" t="s">
        <v>2389</v>
      </c>
      <c r="H13" s="2011" t="s">
        <v>28</v>
      </c>
      <c r="I13" s="2011" t="s">
        <v>899</v>
      </c>
    </row>
    <row r="14" spans="1:9" ht="11.25" customHeight="1">
      <c r="A14" s="2011" t="s">
        <v>2344</v>
      </c>
      <c r="B14" s="2011" t="s">
        <v>16</v>
      </c>
      <c r="C14" s="2011" t="s">
        <v>2390</v>
      </c>
      <c r="D14" s="2011" t="s">
        <v>2391</v>
      </c>
      <c r="E14" s="2011" t="s">
        <v>2392</v>
      </c>
      <c r="F14" s="2011" t="s">
        <v>2355</v>
      </c>
      <c r="G14" s="2011" t="s">
        <v>28</v>
      </c>
      <c r="H14" s="2011" t="s">
        <v>28</v>
      </c>
      <c r="I14" s="2011" t="s">
        <v>899</v>
      </c>
    </row>
    <row r="15" spans="1:9" ht="11.25" customHeight="1">
      <c r="A15" s="2011" t="s">
        <v>2344</v>
      </c>
      <c r="B15" s="2011" t="s">
        <v>16</v>
      </c>
      <c r="C15" s="2011" t="s">
        <v>2393</v>
      </c>
      <c r="D15" s="2011" t="s">
        <v>2394</v>
      </c>
      <c r="E15" s="2011" t="s">
        <v>2395</v>
      </c>
      <c r="F15" s="2011" t="s">
        <v>2396</v>
      </c>
      <c r="G15" s="2011" t="s">
        <v>28</v>
      </c>
      <c r="H15" s="2011" t="s">
        <v>28</v>
      </c>
      <c r="I15" s="2011" t="s">
        <v>899</v>
      </c>
    </row>
    <row r="16" spans="1:9" ht="11.25" customHeight="1">
      <c r="A16" s="2011" t="s">
        <v>2344</v>
      </c>
      <c r="B16" s="2011" t="s">
        <v>16</v>
      </c>
      <c r="C16" s="2011" t="s">
        <v>2397</v>
      </c>
      <c r="D16" s="2011" t="s">
        <v>2398</v>
      </c>
      <c r="E16" s="2011" t="s">
        <v>2399</v>
      </c>
      <c r="F16" s="2011" t="s">
        <v>2400</v>
      </c>
      <c r="G16" s="2011" t="s">
        <v>2401</v>
      </c>
      <c r="H16" s="2011" t="s">
        <v>28</v>
      </c>
      <c r="I16" s="2011" t="s">
        <v>899</v>
      </c>
    </row>
    <row r="17" spans="1:9" ht="11.25" customHeight="1">
      <c r="A17" s="2011" t="s">
        <v>2344</v>
      </c>
      <c r="B17" s="2011" t="s">
        <v>16</v>
      </c>
      <c r="C17" s="2011" t="s">
        <v>2402</v>
      </c>
      <c r="D17" s="2011" t="s">
        <v>2403</v>
      </c>
      <c r="E17" s="2011" t="s">
        <v>2404</v>
      </c>
      <c r="F17" s="2011" t="s">
        <v>2405</v>
      </c>
      <c r="G17" s="2011" t="s">
        <v>2406</v>
      </c>
      <c r="H17" s="2011" t="s">
        <v>28</v>
      </c>
      <c r="I17" s="2011" t="s">
        <v>899</v>
      </c>
    </row>
    <row r="18" spans="1:9" ht="11.25" customHeight="1">
      <c r="A18" s="2011" t="s">
        <v>2344</v>
      </c>
      <c r="B18" s="2011" t="s">
        <v>16</v>
      </c>
      <c r="C18" s="2011" t="s">
        <v>2407</v>
      </c>
      <c r="D18" s="2011" t="s">
        <v>2408</v>
      </c>
      <c r="E18" s="2011" t="s">
        <v>2409</v>
      </c>
      <c r="F18" s="2011" t="s">
        <v>2376</v>
      </c>
      <c r="G18" s="2011" t="s">
        <v>28</v>
      </c>
      <c r="H18" s="2011" t="s">
        <v>28</v>
      </c>
      <c r="I18" s="2011" t="s">
        <v>899</v>
      </c>
    </row>
    <row r="19" spans="1:9" ht="11.25" customHeight="1">
      <c r="A19" s="2011" t="s">
        <v>2344</v>
      </c>
      <c r="B19" s="2011" t="s">
        <v>16</v>
      </c>
      <c r="C19" s="2011" t="s">
        <v>2410</v>
      </c>
      <c r="D19" s="2011" t="s">
        <v>2411</v>
      </c>
      <c r="E19" s="2011" t="s">
        <v>2412</v>
      </c>
      <c r="F19" s="2011" t="s">
        <v>2413</v>
      </c>
      <c r="G19" s="2011" t="s">
        <v>28</v>
      </c>
      <c r="H19" s="2011" t="s">
        <v>28</v>
      </c>
      <c r="I19" s="2011" t="s">
        <v>899</v>
      </c>
    </row>
    <row r="20" spans="1:9" ht="11.25" customHeight="1">
      <c r="A20" s="2011" t="s">
        <v>2344</v>
      </c>
      <c r="B20" s="2011" t="s">
        <v>16</v>
      </c>
      <c r="C20" s="2011" t="s">
        <v>2414</v>
      </c>
      <c r="D20" s="2011" t="s">
        <v>2415</v>
      </c>
      <c r="E20" s="2011" t="s">
        <v>2416</v>
      </c>
      <c r="F20" s="2011" t="s">
        <v>2384</v>
      </c>
      <c r="G20" s="2011" t="s">
        <v>2417</v>
      </c>
      <c r="H20" s="2011" t="s">
        <v>28</v>
      </c>
      <c r="I20" s="2011" t="s">
        <v>899</v>
      </c>
    </row>
    <row r="21" spans="1:9" ht="11.25" customHeight="1">
      <c r="A21" s="2011" t="s">
        <v>2344</v>
      </c>
      <c r="B21" s="2011" t="s">
        <v>16</v>
      </c>
      <c r="C21" s="2011" t="s">
        <v>2418</v>
      </c>
      <c r="D21" s="2011" t="s">
        <v>2419</v>
      </c>
      <c r="E21" s="2011" t="s">
        <v>2420</v>
      </c>
      <c r="F21" s="2011" t="s">
        <v>2421</v>
      </c>
      <c r="G21" s="2011" t="s">
        <v>28</v>
      </c>
      <c r="H21" s="2011" t="s">
        <v>28</v>
      </c>
      <c r="I21" s="2011" t="s">
        <v>899</v>
      </c>
    </row>
    <row r="22" spans="1:9" ht="11.25" customHeight="1">
      <c r="A22" s="2011" t="s">
        <v>2344</v>
      </c>
      <c r="B22" s="2011" t="s">
        <v>16</v>
      </c>
      <c r="C22" s="2011" t="s">
        <v>2422</v>
      </c>
      <c r="D22" s="2011" t="s">
        <v>2423</v>
      </c>
      <c r="E22" s="2011" t="s">
        <v>2424</v>
      </c>
      <c r="F22" s="2011" t="s">
        <v>2347</v>
      </c>
      <c r="G22" s="2011" t="s">
        <v>2425</v>
      </c>
      <c r="H22" s="2011" t="s">
        <v>28</v>
      </c>
      <c r="I22" s="2011" t="s">
        <v>899</v>
      </c>
    </row>
    <row r="23" spans="1:9" ht="11.25" customHeight="1">
      <c r="A23" s="2011" t="s">
        <v>2344</v>
      </c>
      <c r="B23" s="2011" t="s">
        <v>16</v>
      </c>
      <c r="C23" s="2011" t="s">
        <v>2426</v>
      </c>
      <c r="D23" s="2011" t="s">
        <v>2427</v>
      </c>
      <c r="E23" s="2011" t="s">
        <v>2428</v>
      </c>
      <c r="F23" s="2011" t="s">
        <v>2429</v>
      </c>
      <c r="G23" s="2011" t="s">
        <v>28</v>
      </c>
      <c r="H23" s="2011" t="s">
        <v>28</v>
      </c>
      <c r="I23" s="2011" t="s">
        <v>899</v>
      </c>
    </row>
    <row r="24" spans="1:9" ht="11.25" customHeight="1">
      <c r="A24" s="2011" t="s">
        <v>2344</v>
      </c>
      <c r="B24" s="2011" t="s">
        <v>16</v>
      </c>
      <c r="C24" s="2011" t="s">
        <v>2430</v>
      </c>
      <c r="D24" s="2011" t="s">
        <v>2431</v>
      </c>
      <c r="E24" s="2011" t="s">
        <v>2432</v>
      </c>
      <c r="F24" s="2011" t="s">
        <v>2384</v>
      </c>
      <c r="G24" s="2011" t="s">
        <v>28</v>
      </c>
      <c r="H24" s="2011" t="s">
        <v>28</v>
      </c>
      <c r="I24" s="2011" t="s">
        <v>899</v>
      </c>
    </row>
    <row r="25" spans="1:9" ht="11.25" customHeight="1">
      <c r="A25" s="2011" t="s">
        <v>2344</v>
      </c>
      <c r="B25" s="2011" t="s">
        <v>16</v>
      </c>
      <c r="C25" s="2011" t="s">
        <v>2433</v>
      </c>
      <c r="D25" s="2011" t="s">
        <v>2434</v>
      </c>
      <c r="E25" s="2011" t="s">
        <v>2435</v>
      </c>
      <c r="F25" s="2011" t="s">
        <v>2347</v>
      </c>
      <c r="G25" s="2011" t="s">
        <v>28</v>
      </c>
      <c r="H25" s="2011" t="s">
        <v>28</v>
      </c>
      <c r="I25" s="2011" t="s">
        <v>899</v>
      </c>
    </row>
    <row r="26" spans="1:9" ht="11.25" customHeight="1">
      <c r="A26" s="2011" t="s">
        <v>2344</v>
      </c>
      <c r="B26" s="2011" t="s">
        <v>16</v>
      </c>
      <c r="C26" s="2011" t="s">
        <v>2436</v>
      </c>
      <c r="D26" s="2011" t="s">
        <v>2437</v>
      </c>
      <c r="E26" s="2011" t="s">
        <v>2438</v>
      </c>
      <c r="F26" s="2011" t="s">
        <v>2439</v>
      </c>
      <c r="G26" s="2011" t="s">
        <v>28</v>
      </c>
      <c r="H26" s="2011" t="s">
        <v>28</v>
      </c>
      <c r="I26" s="2011" t="s">
        <v>899</v>
      </c>
    </row>
    <row r="27" spans="1:9" ht="11.25" customHeight="1">
      <c r="A27" s="2011" t="s">
        <v>2344</v>
      </c>
      <c r="B27" s="2011" t="s">
        <v>16</v>
      </c>
      <c r="C27" s="2011" t="s">
        <v>2440</v>
      </c>
      <c r="D27" s="2011" t="s">
        <v>2441</v>
      </c>
      <c r="E27" s="2011" t="s">
        <v>2442</v>
      </c>
      <c r="F27" s="2011" t="s">
        <v>2443</v>
      </c>
      <c r="G27" s="2011" t="s">
        <v>28</v>
      </c>
      <c r="H27" s="2011" t="s">
        <v>28</v>
      </c>
      <c r="I27" s="2011" t="s">
        <v>899</v>
      </c>
    </row>
    <row r="28" spans="1:9" ht="11.25" customHeight="1">
      <c r="A28" s="2011" t="s">
        <v>2344</v>
      </c>
      <c r="B28" s="2011" t="s">
        <v>16</v>
      </c>
      <c r="C28" s="2011" t="s">
        <v>2444</v>
      </c>
      <c r="D28" s="2011" t="s">
        <v>2445</v>
      </c>
      <c r="E28" s="2011" t="s">
        <v>2442</v>
      </c>
      <c r="F28" s="2011" t="s">
        <v>2446</v>
      </c>
      <c r="G28" s="2011" t="s">
        <v>28</v>
      </c>
      <c r="H28" s="2011" t="s">
        <v>28</v>
      </c>
      <c r="I28" s="2011" t="s">
        <v>899</v>
      </c>
    </row>
    <row r="29" spans="1:9" ht="11.25" customHeight="1">
      <c r="A29" s="2011" t="s">
        <v>2344</v>
      </c>
      <c r="B29" s="2011" t="s">
        <v>16</v>
      </c>
      <c r="C29" s="2011" t="s">
        <v>2447</v>
      </c>
      <c r="D29" s="2011" t="s">
        <v>2448</v>
      </c>
      <c r="E29" s="2011" t="s">
        <v>2449</v>
      </c>
      <c r="F29" s="2011" t="s">
        <v>2450</v>
      </c>
      <c r="G29" s="2011" t="s">
        <v>28</v>
      </c>
      <c r="H29" s="2011" t="s">
        <v>28</v>
      </c>
      <c r="I29" s="2011" t="s">
        <v>899</v>
      </c>
    </row>
    <row r="30" spans="1:9" ht="11.25" customHeight="1">
      <c r="A30" s="2011" t="s">
        <v>2344</v>
      </c>
      <c r="B30" s="2011" t="s">
        <v>16</v>
      </c>
      <c r="C30" s="2011" t="s">
        <v>2451</v>
      </c>
      <c r="D30" s="2011" t="s">
        <v>2452</v>
      </c>
      <c r="E30" s="2011" t="s">
        <v>2453</v>
      </c>
      <c r="F30" s="2011" t="s">
        <v>2413</v>
      </c>
      <c r="G30" s="2011" t="s">
        <v>2454</v>
      </c>
      <c r="H30" s="2011" t="s">
        <v>28</v>
      </c>
      <c r="I30" s="2011" t="s">
        <v>899</v>
      </c>
    </row>
    <row r="31" spans="1:9" ht="11.25" customHeight="1">
      <c r="A31" s="2011" t="s">
        <v>2344</v>
      </c>
      <c r="B31" s="2011" t="s">
        <v>16</v>
      </c>
      <c r="C31" s="2011" t="s">
        <v>2455</v>
      </c>
      <c r="D31" s="2011" t="s">
        <v>2456</v>
      </c>
      <c r="E31" s="2011" t="s">
        <v>2457</v>
      </c>
      <c r="F31" s="2011" t="s">
        <v>2396</v>
      </c>
      <c r="G31" s="2011" t="s">
        <v>28</v>
      </c>
      <c r="H31" s="2011" t="s">
        <v>28</v>
      </c>
      <c r="I31" s="2011" t="s">
        <v>899</v>
      </c>
    </row>
    <row r="32" spans="1:9" ht="11.25" customHeight="1">
      <c r="A32" s="2011" t="s">
        <v>2344</v>
      </c>
      <c r="B32" s="2011" t="s">
        <v>16</v>
      </c>
      <c r="C32" s="2011" t="s">
        <v>2458</v>
      </c>
      <c r="D32" s="2011" t="s">
        <v>2459</v>
      </c>
      <c r="E32" s="2011" t="s">
        <v>2460</v>
      </c>
      <c r="F32" s="2011" t="s">
        <v>2384</v>
      </c>
      <c r="G32" s="2011" t="s">
        <v>28</v>
      </c>
      <c r="H32" s="2011" t="s">
        <v>28</v>
      </c>
      <c r="I32" s="2011" t="s">
        <v>899</v>
      </c>
    </row>
    <row r="33" spans="1:9" ht="11.25" customHeight="1">
      <c r="A33" s="2011" t="s">
        <v>2344</v>
      </c>
      <c r="B33" s="2011" t="s">
        <v>16</v>
      </c>
      <c r="C33" s="2011" t="s">
        <v>2461</v>
      </c>
      <c r="D33" s="2011" t="s">
        <v>2462</v>
      </c>
      <c r="E33" s="2011" t="s">
        <v>2463</v>
      </c>
      <c r="F33" s="2011" t="s">
        <v>667</v>
      </c>
      <c r="G33" s="2011" t="s">
        <v>2464</v>
      </c>
      <c r="H33" s="2011" t="s">
        <v>28</v>
      </c>
      <c r="I33" s="2011" t="s">
        <v>899</v>
      </c>
    </row>
    <row r="34" spans="1:9" ht="11.25" customHeight="1">
      <c r="A34" s="2011" t="s">
        <v>2344</v>
      </c>
      <c r="B34" s="2011" t="s">
        <v>16</v>
      </c>
      <c r="C34" s="2011" t="s">
        <v>2465</v>
      </c>
      <c r="D34" s="2011" t="s">
        <v>2466</v>
      </c>
      <c r="E34" s="2011" t="s">
        <v>2467</v>
      </c>
      <c r="F34" s="2011" t="s">
        <v>2384</v>
      </c>
      <c r="G34" s="2011" t="s">
        <v>28</v>
      </c>
      <c r="H34" s="2011" t="s">
        <v>28</v>
      </c>
      <c r="I34" s="2011" t="s">
        <v>899</v>
      </c>
    </row>
    <row r="35" spans="1:9" ht="11.25" customHeight="1">
      <c r="A35" s="2011" t="s">
        <v>2344</v>
      </c>
      <c r="B35" s="2011" t="s">
        <v>16</v>
      </c>
      <c r="C35" s="2011" t="s">
        <v>2468</v>
      </c>
      <c r="D35" s="2011" t="s">
        <v>2469</v>
      </c>
      <c r="E35" s="2011" t="s">
        <v>2470</v>
      </c>
      <c r="F35" s="2011" t="s">
        <v>2471</v>
      </c>
      <c r="G35" s="2011" t="s">
        <v>2472</v>
      </c>
      <c r="H35" s="2011" t="s">
        <v>28</v>
      </c>
      <c r="I35" s="2011" t="s">
        <v>899</v>
      </c>
    </row>
    <row r="36" spans="1:9" ht="11.25" customHeight="1">
      <c r="A36" s="2011" t="s">
        <v>2344</v>
      </c>
      <c r="B36" s="2011" t="s">
        <v>16</v>
      </c>
      <c r="C36" s="2011" t="s">
        <v>2473</v>
      </c>
      <c r="D36" s="2011" t="s">
        <v>2474</v>
      </c>
      <c r="E36" s="2011" t="s">
        <v>2475</v>
      </c>
      <c r="F36" s="2011" t="s">
        <v>2450</v>
      </c>
      <c r="G36" s="2011" t="s">
        <v>28</v>
      </c>
      <c r="H36" s="2011" t="s">
        <v>28</v>
      </c>
      <c r="I36" s="2011" t="s">
        <v>899</v>
      </c>
    </row>
    <row r="37" spans="1:9" ht="11.25" customHeight="1">
      <c r="A37" s="2011" t="s">
        <v>2344</v>
      </c>
      <c r="B37" s="2011" t="s">
        <v>16</v>
      </c>
      <c r="C37" s="2011" t="s">
        <v>2476</v>
      </c>
      <c r="D37" s="2011" t="s">
        <v>2477</v>
      </c>
      <c r="E37" s="2011" t="s">
        <v>2478</v>
      </c>
      <c r="F37" s="2011" t="s">
        <v>2479</v>
      </c>
      <c r="G37" s="2011" t="s">
        <v>28</v>
      </c>
      <c r="H37" s="2011" t="s">
        <v>28</v>
      </c>
      <c r="I37" s="2011" t="s">
        <v>899</v>
      </c>
    </row>
    <row r="38" spans="1:9" ht="11.25" customHeight="1">
      <c r="A38" s="2011" t="s">
        <v>2344</v>
      </c>
      <c r="B38" s="2011" t="s">
        <v>16</v>
      </c>
      <c r="C38" s="2011" t="s">
        <v>2480</v>
      </c>
      <c r="D38" s="2011" t="s">
        <v>2481</v>
      </c>
      <c r="E38" s="2011" t="s">
        <v>2482</v>
      </c>
      <c r="F38" s="2011" t="s">
        <v>2450</v>
      </c>
      <c r="G38" s="2011" t="s">
        <v>28</v>
      </c>
      <c r="H38" s="2011" t="s">
        <v>28</v>
      </c>
      <c r="I38" s="2011" t="s">
        <v>899</v>
      </c>
    </row>
    <row r="39" spans="1:9" ht="11.25" customHeight="1">
      <c r="A39" s="2011" t="s">
        <v>2344</v>
      </c>
      <c r="B39" s="2011" t="s">
        <v>16</v>
      </c>
      <c r="C39" s="2011" t="s">
        <v>2483</v>
      </c>
      <c r="D39" s="2011" t="s">
        <v>2484</v>
      </c>
      <c r="E39" s="2011" t="s">
        <v>2485</v>
      </c>
      <c r="F39" s="2011" t="s">
        <v>2384</v>
      </c>
      <c r="G39" s="2011" t="s">
        <v>28</v>
      </c>
      <c r="H39" s="2011" t="s">
        <v>28</v>
      </c>
      <c r="I39" s="2011" t="s">
        <v>899</v>
      </c>
    </row>
    <row r="40" spans="1:9" ht="11.25" customHeight="1">
      <c r="A40" s="2011" t="s">
        <v>2344</v>
      </c>
      <c r="B40" s="2011" t="s">
        <v>16</v>
      </c>
      <c r="C40" s="2011" t="s">
        <v>2486</v>
      </c>
      <c r="D40" s="2011" t="s">
        <v>2487</v>
      </c>
      <c r="E40" s="2011" t="s">
        <v>2488</v>
      </c>
      <c r="F40" s="2011" t="s">
        <v>2489</v>
      </c>
      <c r="G40" s="2011" t="s">
        <v>28</v>
      </c>
      <c r="H40" s="2011" t="s">
        <v>28</v>
      </c>
      <c r="I40" s="2011" t="s">
        <v>899</v>
      </c>
    </row>
    <row r="41" spans="1:9" ht="11.25" customHeight="1">
      <c r="A41" s="2011" t="s">
        <v>2344</v>
      </c>
      <c r="B41" s="2011" t="s">
        <v>16</v>
      </c>
      <c r="C41" s="2011" t="s">
        <v>2490</v>
      </c>
      <c r="D41" s="2011" t="s">
        <v>47</v>
      </c>
      <c r="E41" s="2011" t="s">
        <v>50</v>
      </c>
      <c r="F41" s="2011" t="s">
        <v>2489</v>
      </c>
      <c r="G41" s="2011" t="s">
        <v>28</v>
      </c>
      <c r="H41" s="2011" t="s">
        <v>28</v>
      </c>
      <c r="I41" s="2011" t="s">
        <v>899</v>
      </c>
    </row>
    <row r="42" spans="1:9" ht="11.25" customHeight="1">
      <c r="A42" s="2011" t="s">
        <v>2344</v>
      </c>
      <c r="B42" s="2011" t="s">
        <v>16</v>
      </c>
      <c r="C42" s="2011" t="s">
        <v>2491</v>
      </c>
      <c r="D42" s="2011" t="s">
        <v>2492</v>
      </c>
      <c r="E42" s="2011" t="s">
        <v>2493</v>
      </c>
      <c r="F42" s="2011" t="s">
        <v>2355</v>
      </c>
      <c r="G42" s="2011" t="s">
        <v>2494</v>
      </c>
      <c r="H42" s="2011" t="s">
        <v>28</v>
      </c>
      <c r="I42" s="2011" t="s">
        <v>899</v>
      </c>
    </row>
    <row r="43" spans="1:9" ht="11.25" customHeight="1">
      <c r="A43" s="2011" t="s">
        <v>2344</v>
      </c>
      <c r="B43" s="2011" t="s">
        <v>16</v>
      </c>
      <c r="C43" s="2011" t="s">
        <v>2495</v>
      </c>
      <c r="D43" s="2011" t="s">
        <v>2496</v>
      </c>
      <c r="E43" s="2011" t="s">
        <v>2497</v>
      </c>
      <c r="F43" s="2011" t="s">
        <v>2498</v>
      </c>
      <c r="G43" s="2011" t="s">
        <v>28</v>
      </c>
      <c r="H43" s="2011" t="s">
        <v>28</v>
      </c>
      <c r="I43" s="2011" t="s">
        <v>899</v>
      </c>
    </row>
    <row r="44" spans="1:9" ht="11.25" customHeight="1">
      <c r="A44" s="2011" t="s">
        <v>2344</v>
      </c>
      <c r="B44" s="2011" t="s">
        <v>16</v>
      </c>
      <c r="C44" s="2011" t="s">
        <v>2499</v>
      </c>
      <c r="D44" s="2011" t="s">
        <v>2500</v>
      </c>
      <c r="E44" s="2011" t="s">
        <v>2501</v>
      </c>
      <c r="F44" s="2011" t="s">
        <v>2376</v>
      </c>
      <c r="G44" s="2011" t="s">
        <v>28</v>
      </c>
      <c r="H44" s="2011" t="s">
        <v>28</v>
      </c>
      <c r="I44" s="2011" t="s">
        <v>899</v>
      </c>
    </row>
    <row r="45" spans="1:9" ht="11.25" customHeight="1">
      <c r="A45" s="2011" t="s">
        <v>2344</v>
      </c>
      <c r="B45" s="2011" t="s">
        <v>16</v>
      </c>
      <c r="C45" s="2011" t="s">
        <v>2502</v>
      </c>
      <c r="D45" s="2011" t="s">
        <v>2503</v>
      </c>
      <c r="E45" s="2011" t="s">
        <v>2504</v>
      </c>
      <c r="F45" s="2011" t="s">
        <v>2505</v>
      </c>
      <c r="G45" s="2011" t="s">
        <v>28</v>
      </c>
      <c r="H45" s="2011" t="s">
        <v>28</v>
      </c>
      <c r="I45" s="2011" t="s">
        <v>899</v>
      </c>
    </row>
    <row r="46" spans="1:9" ht="11.25" customHeight="1">
      <c r="A46" s="2011" t="s">
        <v>2344</v>
      </c>
      <c r="B46" s="2011" t="s">
        <v>16</v>
      </c>
      <c r="C46" s="2011" t="s">
        <v>2506</v>
      </c>
      <c r="D46" s="2011" t="s">
        <v>2507</v>
      </c>
      <c r="E46" s="2011" t="s">
        <v>2508</v>
      </c>
      <c r="F46" s="2011" t="s">
        <v>2509</v>
      </c>
      <c r="G46" s="2011" t="s">
        <v>28</v>
      </c>
      <c r="H46" s="2011" t="s">
        <v>28</v>
      </c>
      <c r="I46" s="2011" t="s">
        <v>899</v>
      </c>
    </row>
    <row r="47" spans="1:9" ht="11.25" customHeight="1">
      <c r="A47" s="2011" t="s">
        <v>2344</v>
      </c>
      <c r="B47" s="2011" t="s">
        <v>16</v>
      </c>
      <c r="C47" s="2011" t="s">
        <v>2510</v>
      </c>
      <c r="D47" s="2011" t="s">
        <v>2511</v>
      </c>
      <c r="E47" s="2011" t="s">
        <v>2512</v>
      </c>
      <c r="F47" s="2011" t="s">
        <v>2509</v>
      </c>
      <c r="G47" s="2011" t="s">
        <v>28</v>
      </c>
      <c r="H47" s="2011" t="s">
        <v>28</v>
      </c>
      <c r="I47" s="2011" t="s">
        <v>899</v>
      </c>
    </row>
    <row r="48" spans="1:9" ht="11.25" customHeight="1">
      <c r="A48" s="2011" t="s">
        <v>2344</v>
      </c>
      <c r="B48" s="2011" t="s">
        <v>16</v>
      </c>
      <c r="C48" s="2011" t="s">
        <v>2513</v>
      </c>
      <c r="D48" s="2011" t="s">
        <v>2514</v>
      </c>
      <c r="E48" s="2011" t="s">
        <v>2515</v>
      </c>
      <c r="F48" s="2011" t="s">
        <v>2516</v>
      </c>
      <c r="G48" s="2011" t="s">
        <v>28</v>
      </c>
      <c r="H48" s="2011" t="s">
        <v>28</v>
      </c>
      <c r="I48" s="2011" t="s">
        <v>899</v>
      </c>
    </row>
    <row r="49" spans="1:9" ht="11.25" customHeight="1">
      <c r="A49" s="2011" t="s">
        <v>2344</v>
      </c>
      <c r="B49" s="2011" t="s">
        <v>16</v>
      </c>
      <c r="C49" s="2011" t="s">
        <v>2517</v>
      </c>
      <c r="D49" s="2011" t="s">
        <v>2518</v>
      </c>
      <c r="E49" s="2011" t="s">
        <v>2519</v>
      </c>
      <c r="F49" s="2011" t="s">
        <v>2384</v>
      </c>
      <c r="G49" s="2011" t="s">
        <v>28</v>
      </c>
      <c r="H49" s="2011" t="s">
        <v>28</v>
      </c>
      <c r="I49" s="2011" t="s">
        <v>899</v>
      </c>
    </row>
    <row r="50" spans="1:9" ht="11.25" customHeight="1">
      <c r="A50" s="2011" t="s">
        <v>2344</v>
      </c>
      <c r="B50" s="2011" t="s">
        <v>16</v>
      </c>
      <c r="C50" s="2011" t="s">
        <v>2520</v>
      </c>
      <c r="D50" s="2011" t="s">
        <v>2521</v>
      </c>
      <c r="E50" s="2011" t="s">
        <v>2522</v>
      </c>
      <c r="F50" s="2011" t="s">
        <v>2505</v>
      </c>
      <c r="G50" s="2011" t="s">
        <v>28</v>
      </c>
      <c r="H50" s="2011" t="s">
        <v>28</v>
      </c>
      <c r="I50" s="2011" t="s">
        <v>899</v>
      </c>
    </row>
    <row r="51" spans="1:9" ht="11.25" customHeight="1">
      <c r="A51" s="2011" t="s">
        <v>2344</v>
      </c>
      <c r="B51" s="2011" t="s">
        <v>16</v>
      </c>
      <c r="C51" s="2011" t="s">
        <v>2523</v>
      </c>
      <c r="D51" s="2011" t="s">
        <v>2524</v>
      </c>
      <c r="E51" s="2011" t="s">
        <v>2525</v>
      </c>
      <c r="F51" s="2011" t="s">
        <v>2526</v>
      </c>
      <c r="G51" s="2011" t="s">
        <v>28</v>
      </c>
      <c r="H51" s="2011" t="s">
        <v>28</v>
      </c>
      <c r="I51" s="2011" t="s">
        <v>899</v>
      </c>
    </row>
    <row r="52" spans="1:9" ht="11.25" customHeight="1">
      <c r="A52" s="2011" t="s">
        <v>2344</v>
      </c>
      <c r="B52" s="2011" t="s">
        <v>16</v>
      </c>
      <c r="C52" s="2011" t="s">
        <v>2527</v>
      </c>
      <c r="D52" s="2011" t="s">
        <v>2528</v>
      </c>
      <c r="E52" s="2011" t="s">
        <v>2529</v>
      </c>
      <c r="F52" s="2011" t="s">
        <v>2489</v>
      </c>
      <c r="G52" s="2011" t="s">
        <v>28</v>
      </c>
      <c r="H52" s="2011" t="s">
        <v>28</v>
      </c>
      <c r="I52" s="2011" t="s">
        <v>899</v>
      </c>
    </row>
    <row r="53" spans="1:9" ht="11.25" customHeight="1">
      <c r="A53" s="2011" t="s">
        <v>2344</v>
      </c>
      <c r="B53" s="2011" t="s">
        <v>16</v>
      </c>
      <c r="C53" s="2011" t="s">
        <v>2530</v>
      </c>
      <c r="D53" s="2011" t="s">
        <v>2531</v>
      </c>
      <c r="E53" s="2011" t="s">
        <v>2532</v>
      </c>
      <c r="F53" s="2011" t="s">
        <v>2533</v>
      </c>
      <c r="G53" s="2011" t="s">
        <v>28</v>
      </c>
      <c r="H53" s="2011" t="s">
        <v>28</v>
      </c>
      <c r="I53" s="2011" t="s">
        <v>899</v>
      </c>
    </row>
    <row r="54" spans="1:9" ht="11.25" customHeight="1">
      <c r="A54" s="2011" t="s">
        <v>2344</v>
      </c>
      <c r="B54" s="2011" t="s">
        <v>16</v>
      </c>
      <c r="C54" s="2011" t="s">
        <v>2534</v>
      </c>
      <c r="D54" s="2011" t="s">
        <v>2535</v>
      </c>
      <c r="E54" s="2011" t="s">
        <v>2536</v>
      </c>
      <c r="F54" s="2011" t="s">
        <v>2396</v>
      </c>
      <c r="G54" s="2011" t="s">
        <v>28</v>
      </c>
      <c r="H54" s="2011" t="s">
        <v>28</v>
      </c>
      <c r="I54" s="2011" t="s">
        <v>899</v>
      </c>
    </row>
    <row r="55" spans="1:9" ht="11.25" customHeight="1">
      <c r="A55" s="2011" t="s">
        <v>2344</v>
      </c>
      <c r="B55" s="2011" t="s">
        <v>16</v>
      </c>
      <c r="C55" s="2011" t="s">
        <v>2537</v>
      </c>
      <c r="D55" s="2011" t="s">
        <v>2538</v>
      </c>
      <c r="E55" s="2011" t="s">
        <v>2539</v>
      </c>
      <c r="F55" s="2011" t="s">
        <v>2540</v>
      </c>
      <c r="G55" s="2011" t="s">
        <v>28</v>
      </c>
      <c r="H55" s="2011" t="s">
        <v>28</v>
      </c>
      <c r="I55" s="2011" t="s">
        <v>899</v>
      </c>
    </row>
    <row r="56" spans="1:9" ht="11.25" customHeight="1">
      <c r="A56" s="2011" t="s">
        <v>2344</v>
      </c>
      <c r="B56" s="2011" t="s">
        <v>16</v>
      </c>
      <c r="C56" s="2011" t="s">
        <v>2541</v>
      </c>
      <c r="D56" s="2011" t="s">
        <v>2542</v>
      </c>
      <c r="E56" s="2011" t="s">
        <v>2362</v>
      </c>
      <c r="F56" s="2011" t="s">
        <v>2543</v>
      </c>
      <c r="G56" s="2011" t="s">
        <v>28</v>
      </c>
      <c r="H56" s="2011" t="s">
        <v>28</v>
      </c>
      <c r="I56" s="2011" t="s">
        <v>899</v>
      </c>
    </row>
    <row r="57" spans="1:9" ht="11.25" customHeight="1">
      <c r="A57" s="2011" t="s">
        <v>2344</v>
      </c>
      <c r="B57" s="2011" t="s">
        <v>16</v>
      </c>
      <c r="C57" s="2011" t="s">
        <v>2544</v>
      </c>
      <c r="D57" s="2011" t="s">
        <v>2545</v>
      </c>
      <c r="E57" s="2011" t="s">
        <v>2546</v>
      </c>
      <c r="F57" s="2011" t="s">
        <v>2547</v>
      </c>
      <c r="G57" s="2011" t="s">
        <v>28</v>
      </c>
      <c r="H57" s="2011" t="s">
        <v>28</v>
      </c>
      <c r="I57" s="2011" t="s">
        <v>899</v>
      </c>
    </row>
    <row r="58" spans="1:9" ht="11.25" customHeight="1">
      <c r="A58" s="2011" t="s">
        <v>2344</v>
      </c>
      <c r="B58" s="2011" t="s">
        <v>16</v>
      </c>
      <c r="C58" s="2011" t="s">
        <v>2548</v>
      </c>
      <c r="D58" s="2011" t="s">
        <v>2549</v>
      </c>
      <c r="E58" s="2011" t="s">
        <v>2550</v>
      </c>
      <c r="F58" s="2011" t="s">
        <v>2547</v>
      </c>
      <c r="G58" s="2011" t="s">
        <v>28</v>
      </c>
      <c r="H58" s="2011" t="s">
        <v>28</v>
      </c>
      <c r="I58" s="2011" t="s">
        <v>899</v>
      </c>
    </row>
    <row r="59" spans="1:9" ht="11.25" customHeight="1">
      <c r="A59" s="2011" t="s">
        <v>2344</v>
      </c>
      <c r="B59" s="2011" t="s">
        <v>16</v>
      </c>
      <c r="C59" s="2011" t="s">
        <v>2551</v>
      </c>
      <c r="D59" s="2011" t="s">
        <v>2552</v>
      </c>
      <c r="E59" s="2011" t="s">
        <v>2553</v>
      </c>
      <c r="F59" s="2011" t="s">
        <v>2509</v>
      </c>
      <c r="G59" s="2011" t="s">
        <v>28</v>
      </c>
      <c r="H59" s="2011" t="s">
        <v>28</v>
      </c>
      <c r="I59" s="2011" t="s">
        <v>899</v>
      </c>
    </row>
    <row r="60" spans="1:9" ht="11.25" customHeight="1">
      <c r="A60" s="2011" t="s">
        <v>2344</v>
      </c>
      <c r="B60" s="2011" t="s">
        <v>16</v>
      </c>
      <c r="C60" s="2011" t="s">
        <v>2554</v>
      </c>
      <c r="D60" s="2011" t="s">
        <v>2555</v>
      </c>
      <c r="E60" s="2011" t="s">
        <v>2556</v>
      </c>
      <c r="F60" s="2011" t="s">
        <v>2384</v>
      </c>
      <c r="G60" s="2011" t="s">
        <v>28</v>
      </c>
      <c r="H60" s="2011" t="s">
        <v>28</v>
      </c>
      <c r="I60" s="2011" t="s">
        <v>899</v>
      </c>
    </row>
    <row r="61" spans="1:9" ht="11.25" customHeight="1">
      <c r="A61" s="2011" t="s">
        <v>2344</v>
      </c>
      <c r="B61" s="2011" t="s">
        <v>16</v>
      </c>
      <c r="C61" s="2011" t="s">
        <v>2557</v>
      </c>
      <c r="D61" s="2011" t="s">
        <v>2558</v>
      </c>
      <c r="E61" s="2011" t="s">
        <v>2442</v>
      </c>
      <c r="F61" s="2011" t="s">
        <v>2559</v>
      </c>
      <c r="G61" s="2011" t="s">
        <v>28</v>
      </c>
      <c r="H61" s="2011" t="s">
        <v>28</v>
      </c>
      <c r="I61" s="2011" t="s">
        <v>899</v>
      </c>
    </row>
    <row r="62" spans="1:9" ht="11.25" customHeight="1">
      <c r="A62" s="2011" t="s">
        <v>2344</v>
      </c>
      <c r="B62" s="2011" t="s">
        <v>16</v>
      </c>
      <c r="C62" s="2011" t="s">
        <v>2560</v>
      </c>
      <c r="D62" s="2011" t="s">
        <v>2561</v>
      </c>
      <c r="E62" s="2011" t="s">
        <v>2562</v>
      </c>
      <c r="F62" s="2011" t="s">
        <v>2509</v>
      </c>
      <c r="G62" s="2011" t="s">
        <v>28</v>
      </c>
      <c r="H62" s="2011" t="s">
        <v>28</v>
      </c>
      <c r="I62" s="2011" t="s">
        <v>899</v>
      </c>
    </row>
    <row r="63" spans="1:9" ht="11.25" customHeight="1">
      <c r="A63" s="2011" t="s">
        <v>2344</v>
      </c>
      <c r="B63" s="2011" t="s">
        <v>16</v>
      </c>
      <c r="C63" s="2011" t="s">
        <v>2563</v>
      </c>
      <c r="D63" s="2011" t="s">
        <v>2564</v>
      </c>
      <c r="E63" s="2011" t="s">
        <v>2565</v>
      </c>
      <c r="F63" s="2011" t="s">
        <v>2365</v>
      </c>
      <c r="G63" s="2011" t="s">
        <v>28</v>
      </c>
      <c r="H63" s="2011" t="s">
        <v>28</v>
      </c>
      <c r="I63" s="2011" t="s">
        <v>899</v>
      </c>
    </row>
    <row r="64" spans="1:9" ht="11.25" customHeight="1">
      <c r="A64" s="2011" t="s">
        <v>2344</v>
      </c>
      <c r="B64" s="2011" t="s">
        <v>16</v>
      </c>
      <c r="C64" s="2011" t="s">
        <v>2566</v>
      </c>
      <c r="D64" s="2011" t="s">
        <v>2567</v>
      </c>
      <c r="E64" s="2011" t="s">
        <v>2568</v>
      </c>
      <c r="F64" s="2011" t="s">
        <v>2396</v>
      </c>
      <c r="G64" s="2011" t="s">
        <v>28</v>
      </c>
      <c r="H64" s="2011" t="s">
        <v>28</v>
      </c>
      <c r="I64" s="2011" t="s">
        <v>899</v>
      </c>
    </row>
    <row r="65" spans="1:9" ht="11.25" customHeight="1">
      <c r="A65" s="2011" t="s">
        <v>2344</v>
      </c>
      <c r="B65" s="2011" t="s">
        <v>16</v>
      </c>
      <c r="C65" s="2011" t="s">
        <v>2569</v>
      </c>
      <c r="D65" s="2011" t="s">
        <v>2570</v>
      </c>
      <c r="E65" s="2011" t="s">
        <v>2571</v>
      </c>
      <c r="F65" s="2011" t="s">
        <v>2351</v>
      </c>
      <c r="G65" s="2011" t="s">
        <v>28</v>
      </c>
      <c r="H65" s="2011" t="s">
        <v>28</v>
      </c>
      <c r="I65" s="2011" t="s">
        <v>899</v>
      </c>
    </row>
    <row r="66" spans="1:9" ht="11.25" customHeight="1">
      <c r="A66" s="2011" t="s">
        <v>2344</v>
      </c>
      <c r="B66" s="2011" t="s">
        <v>16</v>
      </c>
      <c r="C66" s="2011" t="s">
        <v>2572</v>
      </c>
      <c r="D66" s="2011" t="s">
        <v>2573</v>
      </c>
      <c r="E66" s="2011" t="s">
        <v>2574</v>
      </c>
      <c r="F66" s="2011" t="s">
        <v>2489</v>
      </c>
      <c r="G66" s="2011" t="s">
        <v>28</v>
      </c>
      <c r="H66" s="2011" t="s">
        <v>28</v>
      </c>
      <c r="I66" s="2011" t="s">
        <v>899</v>
      </c>
    </row>
    <row r="67" spans="1:9" ht="11.25" customHeight="1">
      <c r="A67" s="2011" t="s">
        <v>2344</v>
      </c>
      <c r="B67" s="2011" t="s">
        <v>16</v>
      </c>
      <c r="C67" s="2011" t="s">
        <v>2575</v>
      </c>
      <c r="D67" s="2011" t="s">
        <v>2576</v>
      </c>
      <c r="E67" s="2011" t="s">
        <v>2577</v>
      </c>
      <c r="F67" s="2011" t="s">
        <v>2578</v>
      </c>
      <c r="G67" s="2011" t="s">
        <v>2579</v>
      </c>
      <c r="H67" s="2011" t="s">
        <v>28</v>
      </c>
      <c r="I67" s="2011" t="s">
        <v>899</v>
      </c>
    </row>
    <row r="68" spans="1:9" ht="11.25" customHeight="1">
      <c r="A68" s="2011" t="s">
        <v>2344</v>
      </c>
      <c r="B68" s="2011" t="s">
        <v>16</v>
      </c>
      <c r="C68" s="2011" t="s">
        <v>2580</v>
      </c>
      <c r="D68" s="2011" t="s">
        <v>2581</v>
      </c>
      <c r="E68" s="2011" t="s">
        <v>2582</v>
      </c>
      <c r="F68" s="2011" t="s">
        <v>2351</v>
      </c>
      <c r="G68" s="2011" t="s">
        <v>2583</v>
      </c>
      <c r="H68" s="2011" t="s">
        <v>28</v>
      </c>
      <c r="I68" s="2011" t="s">
        <v>899</v>
      </c>
    </row>
    <row r="69" spans="1:9" ht="11.25" customHeight="1">
      <c r="A69" s="2011" t="s">
        <v>2344</v>
      </c>
      <c r="B69" s="2011" t="s">
        <v>16</v>
      </c>
      <c r="C69" s="2011" t="s">
        <v>2584</v>
      </c>
      <c r="D69" s="2011" t="s">
        <v>2585</v>
      </c>
      <c r="E69" s="2011" t="s">
        <v>2586</v>
      </c>
      <c r="F69" s="2011" t="s">
        <v>2351</v>
      </c>
      <c r="G69" s="2011" t="s">
        <v>2587</v>
      </c>
      <c r="H69" s="2011" t="s">
        <v>28</v>
      </c>
      <c r="I69" s="2011" t="s">
        <v>899</v>
      </c>
    </row>
    <row r="70" spans="1:9" ht="11.25" customHeight="1">
      <c r="A70" s="2011" t="s">
        <v>2344</v>
      </c>
      <c r="B70" s="2011" t="s">
        <v>16</v>
      </c>
      <c r="C70" s="2011" t="s">
        <v>2588</v>
      </c>
      <c r="D70" s="2011" t="s">
        <v>2589</v>
      </c>
      <c r="E70" s="2011" t="s">
        <v>2590</v>
      </c>
      <c r="F70" s="2011" t="s">
        <v>2591</v>
      </c>
      <c r="G70" s="2011" t="s">
        <v>28</v>
      </c>
      <c r="H70" s="2011" t="s">
        <v>28</v>
      </c>
      <c r="I70" s="2011" t="s">
        <v>899</v>
      </c>
    </row>
    <row r="71" spans="1:9" ht="11.25" customHeight="1">
      <c r="A71" s="2011" t="s">
        <v>2344</v>
      </c>
      <c r="B71" s="2011" t="s">
        <v>16</v>
      </c>
      <c r="C71" s="2011" t="s">
        <v>2592</v>
      </c>
      <c r="D71" s="2011" t="s">
        <v>2593</v>
      </c>
      <c r="E71" s="2011" t="s">
        <v>2594</v>
      </c>
      <c r="F71" s="2011" t="s">
        <v>2578</v>
      </c>
      <c r="G71" s="2011" t="s">
        <v>28</v>
      </c>
      <c r="H71" s="2011" t="s">
        <v>28</v>
      </c>
      <c r="I71" s="2011" t="s">
        <v>899</v>
      </c>
    </row>
    <row r="72" spans="1:9" ht="11.25" customHeight="1">
      <c r="A72" s="2011" t="s">
        <v>2344</v>
      </c>
      <c r="B72" s="2011" t="s">
        <v>16</v>
      </c>
      <c r="C72" s="2011" t="s">
        <v>2595</v>
      </c>
      <c r="D72" s="2011" t="s">
        <v>2596</v>
      </c>
      <c r="E72" s="2011" t="s">
        <v>2597</v>
      </c>
      <c r="F72" s="2011" t="s">
        <v>2396</v>
      </c>
      <c r="G72" s="2011" t="s">
        <v>28</v>
      </c>
      <c r="H72" s="2011" t="s">
        <v>28</v>
      </c>
      <c r="I72" s="2011" t="s">
        <v>899</v>
      </c>
    </row>
    <row r="73" spans="1:9" ht="11.25" customHeight="1">
      <c r="A73" s="2011" t="s">
        <v>2344</v>
      </c>
      <c r="B73" s="2011" t="s">
        <v>16</v>
      </c>
      <c r="C73" s="2011" t="s">
        <v>2598</v>
      </c>
      <c r="D73" s="2011" t="s">
        <v>2599</v>
      </c>
      <c r="E73" s="2011" t="s">
        <v>2600</v>
      </c>
      <c r="F73" s="2011" t="s">
        <v>2578</v>
      </c>
      <c r="G73" s="2011" t="s">
        <v>28</v>
      </c>
      <c r="H73" s="2011" t="s">
        <v>28</v>
      </c>
      <c r="I73" s="2011" t="s">
        <v>899</v>
      </c>
    </row>
    <row r="74" spans="1:9" ht="11.25" customHeight="1">
      <c r="A74" s="2011" t="s">
        <v>2344</v>
      </c>
      <c r="B74" s="2011" t="s">
        <v>16</v>
      </c>
      <c r="C74" s="2011" t="s">
        <v>2601</v>
      </c>
      <c r="D74" s="2011" t="s">
        <v>2602</v>
      </c>
      <c r="E74" s="2011" t="s">
        <v>2603</v>
      </c>
      <c r="F74" s="2011" t="s">
        <v>2479</v>
      </c>
      <c r="G74" s="2011" t="s">
        <v>2604</v>
      </c>
      <c r="H74" s="2011" t="s">
        <v>28</v>
      </c>
      <c r="I74" s="2011" t="s">
        <v>899</v>
      </c>
    </row>
    <row r="75" spans="1:9" ht="11.25" customHeight="1">
      <c r="A75" s="2011" t="s">
        <v>2344</v>
      </c>
      <c r="B75" s="2011" t="s">
        <v>16</v>
      </c>
      <c r="C75" s="2011" t="s">
        <v>2605</v>
      </c>
      <c r="D75" s="2011" t="s">
        <v>2606</v>
      </c>
      <c r="E75" s="2011" t="s">
        <v>2607</v>
      </c>
      <c r="F75" s="2011" t="s">
        <v>2608</v>
      </c>
      <c r="G75" s="2011" t="s">
        <v>2609</v>
      </c>
      <c r="H75" s="2011" t="s">
        <v>28</v>
      </c>
      <c r="I75" s="2011" t="s">
        <v>899</v>
      </c>
    </row>
    <row r="76" spans="1:9" ht="11.25" customHeight="1">
      <c r="A76" s="2011" t="s">
        <v>2344</v>
      </c>
      <c r="B76" s="2011" t="s">
        <v>16</v>
      </c>
      <c r="C76" s="2011" t="s">
        <v>2610</v>
      </c>
      <c r="D76" s="2011" t="s">
        <v>2611</v>
      </c>
      <c r="E76" s="2011" t="s">
        <v>2612</v>
      </c>
      <c r="F76" s="2011" t="s">
        <v>2578</v>
      </c>
      <c r="G76" s="2011" t="s">
        <v>28</v>
      </c>
      <c r="H76" s="2011" t="s">
        <v>28</v>
      </c>
      <c r="I76" s="2011" t="s">
        <v>899</v>
      </c>
    </row>
    <row r="77" spans="1:9" ht="11.25" customHeight="1">
      <c r="A77" s="2011" t="s">
        <v>2344</v>
      </c>
      <c r="B77" s="2011" t="s">
        <v>16</v>
      </c>
      <c r="C77" s="2011" t="s">
        <v>2613</v>
      </c>
      <c r="D77" s="2011" t="s">
        <v>2614</v>
      </c>
      <c r="E77" s="2011" t="s">
        <v>2615</v>
      </c>
      <c r="F77" s="2011" t="s">
        <v>2578</v>
      </c>
      <c r="G77" s="2011" t="s">
        <v>28</v>
      </c>
      <c r="H77" s="2011" t="s">
        <v>28</v>
      </c>
      <c r="I77" s="2011" t="s">
        <v>899</v>
      </c>
    </row>
    <row r="78" spans="1:9" ht="11.25" customHeight="1">
      <c r="A78" s="2011" t="s">
        <v>2344</v>
      </c>
      <c r="B78" s="2011" t="s">
        <v>16</v>
      </c>
      <c r="C78" s="2011" t="s">
        <v>2616</v>
      </c>
      <c r="D78" s="2011" t="s">
        <v>2617</v>
      </c>
      <c r="E78" s="2011" t="s">
        <v>2618</v>
      </c>
      <c r="F78" s="2011" t="s">
        <v>2619</v>
      </c>
      <c r="G78" s="2011" t="s">
        <v>28</v>
      </c>
      <c r="H78" s="2011" t="s">
        <v>28</v>
      </c>
      <c r="I78" s="2011" t="s">
        <v>899</v>
      </c>
    </row>
    <row r="79" spans="1:9" ht="11.25" customHeight="1">
      <c r="A79" s="2011" t="s">
        <v>2344</v>
      </c>
      <c r="B79" s="2011" t="s">
        <v>16</v>
      </c>
      <c r="C79" s="2011" t="s">
        <v>2620</v>
      </c>
      <c r="D79" s="2011" t="s">
        <v>2621</v>
      </c>
      <c r="E79" s="2011" t="s">
        <v>2622</v>
      </c>
      <c r="F79" s="2011" t="s">
        <v>2347</v>
      </c>
      <c r="G79" s="2011" t="s">
        <v>28</v>
      </c>
      <c r="H79" s="2011" t="s">
        <v>28</v>
      </c>
      <c r="I79" s="2011" t="s">
        <v>899</v>
      </c>
    </row>
    <row r="80" spans="1:9" ht="11.25" customHeight="1">
      <c r="A80" s="2011" t="s">
        <v>2344</v>
      </c>
      <c r="B80" s="2011" t="s">
        <v>16</v>
      </c>
      <c r="C80" s="2011" t="s">
        <v>2623</v>
      </c>
      <c r="D80" s="2011" t="s">
        <v>2624</v>
      </c>
      <c r="E80" s="2011" t="s">
        <v>2625</v>
      </c>
      <c r="F80" s="2011" t="s">
        <v>2384</v>
      </c>
      <c r="G80" s="2011" t="s">
        <v>28</v>
      </c>
      <c r="H80" s="2011" t="s">
        <v>28</v>
      </c>
      <c r="I80" s="2011" t="s">
        <v>899</v>
      </c>
    </row>
    <row r="81" spans="1:9" ht="11.25" customHeight="1">
      <c r="A81" s="2011" t="s">
        <v>2344</v>
      </c>
      <c r="B81" s="2011" t="s">
        <v>16</v>
      </c>
      <c r="C81" s="2011" t="s">
        <v>2626</v>
      </c>
      <c r="D81" s="2011" t="s">
        <v>2627</v>
      </c>
      <c r="E81" s="2011" t="s">
        <v>2628</v>
      </c>
      <c r="F81" s="2011" t="s">
        <v>2351</v>
      </c>
      <c r="G81" s="2011" t="s">
        <v>28</v>
      </c>
      <c r="H81" s="2011" t="s">
        <v>28</v>
      </c>
      <c r="I81" s="2011" t="s">
        <v>899</v>
      </c>
    </row>
    <row r="82" spans="1:9" ht="11.25" customHeight="1">
      <c r="A82" s="2011" t="s">
        <v>2344</v>
      </c>
      <c r="B82" s="2011" t="s">
        <v>16</v>
      </c>
      <c r="C82" s="2011" t="s">
        <v>2629</v>
      </c>
      <c r="D82" s="2011" t="s">
        <v>2630</v>
      </c>
      <c r="E82" s="2011" t="s">
        <v>2631</v>
      </c>
      <c r="F82" s="2011" t="s">
        <v>2632</v>
      </c>
      <c r="G82" s="2011" t="s">
        <v>2633</v>
      </c>
      <c r="H82" s="2011" t="s">
        <v>28</v>
      </c>
      <c r="I82" s="2011" t="s">
        <v>899</v>
      </c>
    </row>
    <row r="83" spans="1:9" ht="11.25" customHeight="1">
      <c r="A83" s="2011" t="s">
        <v>2344</v>
      </c>
      <c r="B83" s="2011" t="s">
        <v>16</v>
      </c>
      <c r="C83" s="2011" t="s">
        <v>2634</v>
      </c>
      <c r="D83" s="2011" t="s">
        <v>2635</v>
      </c>
      <c r="E83" s="2011" t="s">
        <v>2636</v>
      </c>
      <c r="F83" s="2011" t="s">
        <v>2376</v>
      </c>
      <c r="G83" s="2011" t="s">
        <v>2637</v>
      </c>
      <c r="H83" s="2011" t="s">
        <v>28</v>
      </c>
      <c r="I83" s="2011" t="s">
        <v>899</v>
      </c>
    </row>
    <row r="84" spans="1:9" ht="11.25" customHeight="1">
      <c r="A84" s="2011" t="s">
        <v>2344</v>
      </c>
      <c r="B84" s="2011" t="s">
        <v>16</v>
      </c>
      <c r="C84" s="2011" t="s">
        <v>2638</v>
      </c>
      <c r="D84" s="2011" t="s">
        <v>2639</v>
      </c>
      <c r="E84" s="2011" t="s">
        <v>2640</v>
      </c>
      <c r="F84" s="2011" t="s">
        <v>2619</v>
      </c>
      <c r="G84" s="2011" t="s">
        <v>28</v>
      </c>
      <c r="H84" s="2011" t="s">
        <v>28</v>
      </c>
      <c r="I84" s="2011" t="s">
        <v>899</v>
      </c>
    </row>
    <row r="85" spans="1:9" ht="11.25" customHeight="1">
      <c r="A85" s="2011" t="s">
        <v>2344</v>
      </c>
      <c r="B85" s="2011" t="s">
        <v>16</v>
      </c>
      <c r="C85" s="2011" t="s">
        <v>2641</v>
      </c>
      <c r="D85" s="2011" t="s">
        <v>2642</v>
      </c>
      <c r="E85" s="2011" t="s">
        <v>2643</v>
      </c>
      <c r="F85" s="2011" t="s">
        <v>2547</v>
      </c>
      <c r="G85" s="2011" t="s">
        <v>2644</v>
      </c>
      <c r="H85" s="2011" t="s">
        <v>28</v>
      </c>
      <c r="I85" s="2011" t="s">
        <v>899</v>
      </c>
    </row>
    <row r="86" spans="1:9" ht="11.25" customHeight="1">
      <c r="A86" s="2011" t="s">
        <v>2344</v>
      </c>
      <c r="B86" s="2011" t="s">
        <v>16</v>
      </c>
      <c r="C86" s="2011" t="s">
        <v>2645</v>
      </c>
      <c r="D86" s="2011" t="s">
        <v>2646</v>
      </c>
      <c r="E86" s="2011" t="s">
        <v>2647</v>
      </c>
      <c r="F86" s="2011" t="s">
        <v>2405</v>
      </c>
      <c r="G86" s="2011" t="s">
        <v>28</v>
      </c>
      <c r="H86" s="2011" t="s">
        <v>28</v>
      </c>
      <c r="I86" s="2011" t="s">
        <v>899</v>
      </c>
    </row>
    <row r="87" spans="1:9" ht="11.25" customHeight="1">
      <c r="A87" s="2011" t="s">
        <v>2344</v>
      </c>
      <c r="B87" s="2011" t="s">
        <v>16</v>
      </c>
      <c r="C87" s="2011" t="s">
        <v>2648</v>
      </c>
      <c r="D87" s="2011" t="s">
        <v>2649</v>
      </c>
      <c r="E87" s="2011" t="s">
        <v>2650</v>
      </c>
      <c r="F87" s="2011" t="s">
        <v>2384</v>
      </c>
      <c r="G87" s="2011" t="s">
        <v>28</v>
      </c>
      <c r="H87" s="2011" t="s">
        <v>28</v>
      </c>
      <c r="I87" s="2011" t="s">
        <v>899</v>
      </c>
    </row>
    <row r="88" spans="1:9" ht="11.25" customHeight="1">
      <c r="A88" s="2011" t="s">
        <v>2344</v>
      </c>
      <c r="B88" s="2011" t="s">
        <v>16</v>
      </c>
      <c r="C88" s="2011" t="s">
        <v>2651</v>
      </c>
      <c r="D88" s="2011" t="s">
        <v>2652</v>
      </c>
      <c r="E88" s="2011" t="s">
        <v>2653</v>
      </c>
      <c r="F88" s="2011" t="s">
        <v>2526</v>
      </c>
      <c r="G88" s="2011" t="s">
        <v>28</v>
      </c>
      <c r="H88" s="2011" t="s">
        <v>28</v>
      </c>
      <c r="I88" s="2011" t="s">
        <v>899</v>
      </c>
    </row>
    <row r="89" spans="1:9" ht="11.25" customHeight="1">
      <c r="A89" s="2011" t="s">
        <v>2344</v>
      </c>
      <c r="B89" s="2011" t="s">
        <v>16</v>
      </c>
      <c r="C89" s="2011" t="s">
        <v>2654</v>
      </c>
      <c r="D89" s="2011" t="s">
        <v>2655</v>
      </c>
      <c r="E89" s="2011" t="s">
        <v>2656</v>
      </c>
      <c r="F89" s="2011" t="s">
        <v>2351</v>
      </c>
      <c r="G89" s="2011" t="s">
        <v>28</v>
      </c>
      <c r="H89" s="2011" t="s">
        <v>28</v>
      </c>
      <c r="I89" s="2011" t="s">
        <v>899</v>
      </c>
    </row>
    <row r="90" spans="1:9" ht="11.25" customHeight="1">
      <c r="A90" s="2011" t="s">
        <v>2344</v>
      </c>
      <c r="B90" s="2011" t="s">
        <v>16</v>
      </c>
      <c r="C90" s="2011" t="s">
        <v>2657</v>
      </c>
      <c r="D90" s="2011" t="s">
        <v>2658</v>
      </c>
      <c r="E90" s="2011" t="s">
        <v>2659</v>
      </c>
      <c r="F90" s="2011" t="s">
        <v>2351</v>
      </c>
      <c r="G90" s="2011" t="s">
        <v>28</v>
      </c>
      <c r="H90" s="2011" t="s">
        <v>28</v>
      </c>
      <c r="I90" s="2011" t="s">
        <v>899</v>
      </c>
    </row>
    <row r="91" spans="1:9" ht="11.25" customHeight="1">
      <c r="A91" s="2011" t="s">
        <v>2344</v>
      </c>
      <c r="B91" s="2011" t="s">
        <v>16</v>
      </c>
      <c r="C91" s="2011" t="s">
        <v>2660</v>
      </c>
      <c r="D91" s="2011" t="s">
        <v>2661</v>
      </c>
      <c r="E91" s="2011" t="s">
        <v>2662</v>
      </c>
      <c r="F91" s="2011" t="s">
        <v>2526</v>
      </c>
      <c r="G91" s="2011" t="s">
        <v>2406</v>
      </c>
      <c r="H91" s="2011" t="s">
        <v>28</v>
      </c>
      <c r="I91" s="2011" t="s">
        <v>899</v>
      </c>
    </row>
    <row r="92" spans="1:9" ht="11.25" customHeight="1">
      <c r="A92" s="2011" t="s">
        <v>2344</v>
      </c>
      <c r="B92" s="2011" t="s">
        <v>16</v>
      </c>
      <c r="C92" s="2011" t="s">
        <v>2663</v>
      </c>
      <c r="D92" s="2011" t="s">
        <v>2664</v>
      </c>
      <c r="E92" s="2011" t="s">
        <v>2665</v>
      </c>
      <c r="F92" s="2011" t="s">
        <v>2666</v>
      </c>
      <c r="G92" s="2011" t="s">
        <v>28</v>
      </c>
      <c r="H92" s="2011" t="s">
        <v>28</v>
      </c>
      <c r="I92" s="2011" t="s">
        <v>899</v>
      </c>
    </row>
    <row r="93" spans="1:9" ht="11.25" customHeight="1">
      <c r="A93" s="2011" t="s">
        <v>2344</v>
      </c>
      <c r="B93" s="2011" t="s">
        <v>16</v>
      </c>
      <c r="C93" s="2011" t="s">
        <v>2667</v>
      </c>
      <c r="D93" s="2011" t="s">
        <v>2668</v>
      </c>
      <c r="E93" s="2011" t="s">
        <v>2669</v>
      </c>
      <c r="F93" s="2011" t="s">
        <v>2413</v>
      </c>
      <c r="G93" s="2011" t="s">
        <v>28</v>
      </c>
      <c r="H93" s="2011" t="s">
        <v>28</v>
      </c>
      <c r="I93" s="2011" t="s">
        <v>899</v>
      </c>
    </row>
    <row r="94" spans="1:9" ht="11.25" customHeight="1">
      <c r="A94" s="2011" t="s">
        <v>2344</v>
      </c>
      <c r="B94" s="2011" t="s">
        <v>16</v>
      </c>
      <c r="C94" s="2011" t="s">
        <v>2670</v>
      </c>
      <c r="D94" s="2011" t="s">
        <v>2671</v>
      </c>
      <c r="E94" s="2011" t="s">
        <v>2672</v>
      </c>
      <c r="F94" s="2011" t="s">
        <v>2673</v>
      </c>
      <c r="G94" s="2011" t="s">
        <v>28</v>
      </c>
      <c r="H94" s="2011" t="s">
        <v>28</v>
      </c>
      <c r="I94" s="2011" t="s">
        <v>899</v>
      </c>
    </row>
    <row r="95" spans="1:9" ht="11.25" customHeight="1">
      <c r="A95" s="2011" t="s">
        <v>2344</v>
      </c>
      <c r="B95" s="2011" t="s">
        <v>16</v>
      </c>
      <c r="C95" s="2011" t="s">
        <v>2674</v>
      </c>
      <c r="D95" s="2011" t="s">
        <v>2675</v>
      </c>
      <c r="E95" s="2011" t="s">
        <v>2676</v>
      </c>
      <c r="F95" s="2011" t="s">
        <v>2396</v>
      </c>
      <c r="G95" s="2011" t="s">
        <v>28</v>
      </c>
      <c r="H95" s="2011" t="s">
        <v>28</v>
      </c>
      <c r="I95" s="2011" t="s">
        <v>899</v>
      </c>
    </row>
    <row r="96" spans="1:9" ht="11.25" customHeight="1">
      <c r="A96" s="2011" t="s">
        <v>2344</v>
      </c>
      <c r="B96" s="2011" t="s">
        <v>16</v>
      </c>
      <c r="C96" s="2011" t="s">
        <v>2677</v>
      </c>
      <c r="D96" s="2011" t="s">
        <v>2678</v>
      </c>
      <c r="E96" s="2011" t="s">
        <v>2679</v>
      </c>
      <c r="F96" s="2011" t="s">
        <v>2351</v>
      </c>
      <c r="G96" s="2011" t="s">
        <v>28</v>
      </c>
      <c r="H96" s="2011" t="s">
        <v>28</v>
      </c>
      <c r="I96" s="2011" t="s">
        <v>899</v>
      </c>
    </row>
    <row r="97" spans="1:9" ht="11.25" customHeight="1">
      <c r="A97" s="2011" t="s">
        <v>2344</v>
      </c>
      <c r="B97" s="2011" t="s">
        <v>16</v>
      </c>
      <c r="C97" s="2011" t="s">
        <v>2680</v>
      </c>
      <c r="D97" s="2011" t="s">
        <v>2681</v>
      </c>
      <c r="E97" s="2011" t="s">
        <v>2682</v>
      </c>
      <c r="F97" s="2011" t="s">
        <v>2413</v>
      </c>
      <c r="G97" s="2011" t="s">
        <v>2683</v>
      </c>
      <c r="H97" s="2011" t="s">
        <v>28</v>
      </c>
      <c r="I97" s="2011" t="s">
        <v>899</v>
      </c>
    </row>
    <row r="98" spans="1:9" ht="11.25" customHeight="1">
      <c r="A98" s="2011" t="s">
        <v>2344</v>
      </c>
      <c r="B98" s="2011" t="s">
        <v>16</v>
      </c>
      <c r="C98" s="2011" t="s">
        <v>2684</v>
      </c>
      <c r="D98" s="2011" t="s">
        <v>2685</v>
      </c>
      <c r="E98" s="2011" t="s">
        <v>2686</v>
      </c>
      <c r="F98" s="2011" t="s">
        <v>2687</v>
      </c>
      <c r="G98" s="2011" t="s">
        <v>28</v>
      </c>
      <c r="H98" s="2011" t="s">
        <v>28</v>
      </c>
      <c r="I98" s="2011" t="s">
        <v>899</v>
      </c>
    </row>
    <row r="99" spans="1:9" ht="11.25" customHeight="1">
      <c r="A99" s="2011" t="s">
        <v>2344</v>
      </c>
      <c r="B99" s="2011" t="s">
        <v>16</v>
      </c>
      <c r="C99" s="2011" t="s">
        <v>2688</v>
      </c>
      <c r="D99" s="2011" t="s">
        <v>2689</v>
      </c>
      <c r="E99" s="2011" t="s">
        <v>2690</v>
      </c>
      <c r="F99" s="2011" t="s">
        <v>2347</v>
      </c>
      <c r="G99" s="2011" t="s">
        <v>28</v>
      </c>
      <c r="H99" s="2011" t="s">
        <v>28</v>
      </c>
      <c r="I99" s="2011" t="s">
        <v>899</v>
      </c>
    </row>
    <row r="100" spans="1:9" ht="11.25" customHeight="1">
      <c r="A100" s="2011" t="s">
        <v>2344</v>
      </c>
      <c r="B100" s="2011" t="s">
        <v>16</v>
      </c>
      <c r="C100" s="2011" t="s">
        <v>2691</v>
      </c>
      <c r="D100" s="2011" t="s">
        <v>2692</v>
      </c>
      <c r="E100" s="2011" t="s">
        <v>2693</v>
      </c>
      <c r="F100" s="2011" t="s">
        <v>2359</v>
      </c>
      <c r="G100" s="2011" t="s">
        <v>28</v>
      </c>
      <c r="H100" s="2011" t="s">
        <v>28</v>
      </c>
      <c r="I100" s="2011" t="s">
        <v>899</v>
      </c>
    </row>
    <row r="101" spans="1:9" ht="11.25" customHeight="1">
      <c r="A101" s="2011" t="s">
        <v>2344</v>
      </c>
      <c r="B101" s="2011" t="s">
        <v>16</v>
      </c>
      <c r="C101" s="2011" t="s">
        <v>2694</v>
      </c>
      <c r="D101" s="2011" t="s">
        <v>2695</v>
      </c>
      <c r="E101" s="2011" t="s">
        <v>2696</v>
      </c>
      <c r="F101" s="2011" t="s">
        <v>2351</v>
      </c>
      <c r="G101" s="2011" t="s">
        <v>28</v>
      </c>
      <c r="H101" s="2011" t="s">
        <v>28</v>
      </c>
      <c r="I101" s="2011" t="s">
        <v>899</v>
      </c>
    </row>
    <row r="102" spans="1:9" ht="11.25" customHeight="1">
      <c r="A102" s="2011" t="s">
        <v>2344</v>
      </c>
      <c r="B102" s="2011" t="s">
        <v>16</v>
      </c>
      <c r="C102" s="2011" t="s">
        <v>2697</v>
      </c>
      <c r="D102" s="2011" t="s">
        <v>2698</v>
      </c>
      <c r="E102" s="2011" t="s">
        <v>2699</v>
      </c>
      <c r="F102" s="2011" t="s">
        <v>2700</v>
      </c>
      <c r="G102" s="2011" t="s">
        <v>2701</v>
      </c>
      <c r="H102" s="2011" t="s">
        <v>28</v>
      </c>
      <c r="I102" s="2011" t="s">
        <v>899</v>
      </c>
    </row>
    <row r="103" spans="1:9" ht="11.25" customHeight="1">
      <c r="A103" s="2011" t="s">
        <v>2344</v>
      </c>
      <c r="B103" s="2011" t="s">
        <v>16</v>
      </c>
      <c r="C103" s="2011" t="s">
        <v>2702</v>
      </c>
      <c r="D103" s="2011" t="s">
        <v>2703</v>
      </c>
      <c r="E103" s="2011" t="s">
        <v>2704</v>
      </c>
      <c r="F103" s="2011" t="s">
        <v>2673</v>
      </c>
      <c r="G103" s="2011" t="s">
        <v>2705</v>
      </c>
      <c r="H103" s="2011" t="s">
        <v>28</v>
      </c>
      <c r="I103" s="2011" t="s">
        <v>899</v>
      </c>
    </row>
    <row r="104" spans="1:9" ht="11.25" customHeight="1">
      <c r="A104" s="2011" t="s">
        <v>2344</v>
      </c>
      <c r="B104" s="2011" t="s">
        <v>16</v>
      </c>
      <c r="C104" s="2011" t="s">
        <v>2706</v>
      </c>
      <c r="D104" s="2011" t="s">
        <v>2707</v>
      </c>
      <c r="E104" s="2011" t="s">
        <v>2708</v>
      </c>
      <c r="F104" s="2011" t="s">
        <v>2396</v>
      </c>
      <c r="G104" s="2011" t="s">
        <v>2709</v>
      </c>
      <c r="H104" s="2011" t="s">
        <v>28</v>
      </c>
      <c r="I104" s="2011" t="s">
        <v>899</v>
      </c>
    </row>
    <row r="105" spans="1:9" ht="11.25" customHeight="1">
      <c r="A105" s="2011" t="s">
        <v>2344</v>
      </c>
      <c r="B105" s="2011" t="s">
        <v>16</v>
      </c>
      <c r="C105" s="2011" t="s">
        <v>2710</v>
      </c>
      <c r="D105" s="2011" t="s">
        <v>2711</v>
      </c>
      <c r="E105" s="2011" t="s">
        <v>2712</v>
      </c>
      <c r="F105" s="2011" t="s">
        <v>2713</v>
      </c>
      <c r="G105" s="2011" t="s">
        <v>28</v>
      </c>
      <c r="H105" s="2011" t="s">
        <v>28</v>
      </c>
      <c r="I105" s="2011" t="s">
        <v>899</v>
      </c>
    </row>
    <row r="106" spans="1:9" ht="11.25" customHeight="1">
      <c r="A106" s="2011" t="s">
        <v>2344</v>
      </c>
      <c r="B106" s="2011" t="s">
        <v>16</v>
      </c>
      <c r="C106" s="2011" t="s">
        <v>2714</v>
      </c>
      <c r="D106" s="2011" t="s">
        <v>2715</v>
      </c>
      <c r="E106" s="2011" t="s">
        <v>2716</v>
      </c>
      <c r="F106" s="2011" t="s">
        <v>2347</v>
      </c>
      <c r="G106" s="2011" t="s">
        <v>28</v>
      </c>
      <c r="H106" s="2011" t="s">
        <v>28</v>
      </c>
      <c r="I106" s="2011" t="s">
        <v>899</v>
      </c>
    </row>
    <row r="107" spans="1:9" ht="11.25" customHeight="1">
      <c r="A107" s="2011" t="s">
        <v>2344</v>
      </c>
      <c r="B107" s="2011" t="s">
        <v>16</v>
      </c>
      <c r="C107" s="2011" t="s">
        <v>2717</v>
      </c>
      <c r="D107" s="2011" t="s">
        <v>2718</v>
      </c>
      <c r="E107" s="2011" t="s">
        <v>2442</v>
      </c>
      <c r="F107" s="2011" t="s">
        <v>2719</v>
      </c>
      <c r="G107" s="2011" t="s">
        <v>28</v>
      </c>
      <c r="H107" s="2011" t="s">
        <v>28</v>
      </c>
      <c r="I107" s="2011" t="s">
        <v>899</v>
      </c>
    </row>
    <row r="108" spans="1:9" ht="11.25" customHeight="1">
      <c r="A108" s="2011" t="s">
        <v>2344</v>
      </c>
      <c r="B108" s="2011" t="s">
        <v>16</v>
      </c>
      <c r="C108" s="2011" t="s">
        <v>2720</v>
      </c>
      <c r="D108" s="2011" t="s">
        <v>2721</v>
      </c>
      <c r="E108" s="2011" t="s">
        <v>2722</v>
      </c>
      <c r="F108" s="2011" t="s">
        <v>2547</v>
      </c>
      <c r="G108" s="2011" t="s">
        <v>28</v>
      </c>
      <c r="H108" s="2011" t="s">
        <v>28</v>
      </c>
      <c r="I108" s="2011" t="s">
        <v>899</v>
      </c>
    </row>
    <row r="109" spans="1:9" ht="11.25" customHeight="1">
      <c r="A109" s="2011" t="s">
        <v>2344</v>
      </c>
      <c r="B109" s="2011" t="s">
        <v>16</v>
      </c>
      <c r="C109" s="2011" t="s">
        <v>2723</v>
      </c>
      <c r="D109" s="2011" t="s">
        <v>2724</v>
      </c>
      <c r="E109" s="2011" t="s">
        <v>2725</v>
      </c>
      <c r="F109" s="2011" t="s">
        <v>2726</v>
      </c>
      <c r="G109" s="2011" t="s">
        <v>2727</v>
      </c>
      <c r="H109" s="2011" t="s">
        <v>28</v>
      </c>
      <c r="I109" s="2011" t="s">
        <v>899</v>
      </c>
    </row>
    <row r="110" spans="1:9" ht="11.25" customHeight="1">
      <c r="A110" s="2011" t="s">
        <v>2344</v>
      </c>
      <c r="B110" s="2011" t="s">
        <v>16</v>
      </c>
      <c r="C110" s="2011" t="s">
        <v>2728</v>
      </c>
      <c r="D110" s="2011" t="s">
        <v>2729</v>
      </c>
      <c r="E110" s="2011" t="s">
        <v>2730</v>
      </c>
      <c r="F110" s="2011" t="s">
        <v>2547</v>
      </c>
      <c r="G110" s="2011" t="s">
        <v>28</v>
      </c>
      <c r="H110" s="2011" t="s">
        <v>28</v>
      </c>
      <c r="I110" s="2011" t="s">
        <v>899</v>
      </c>
    </row>
    <row r="111" spans="1:9" ht="11.25" customHeight="1">
      <c r="A111" s="2011" t="s">
        <v>2344</v>
      </c>
      <c r="B111" s="2011" t="s">
        <v>16</v>
      </c>
      <c r="C111" s="2011" t="s">
        <v>2731</v>
      </c>
      <c r="D111" s="2011" t="s">
        <v>2732</v>
      </c>
      <c r="E111" s="2011" t="s">
        <v>2733</v>
      </c>
      <c r="F111" s="2011" t="s">
        <v>2489</v>
      </c>
      <c r="G111" s="2011" t="s">
        <v>28</v>
      </c>
      <c r="H111" s="2011" t="s">
        <v>28</v>
      </c>
      <c r="I111" s="2011" t="s">
        <v>899</v>
      </c>
    </row>
    <row r="112" spans="1:9" ht="11.25" customHeight="1">
      <c r="A112" s="2011" t="s">
        <v>2344</v>
      </c>
      <c r="B112" s="2011" t="s">
        <v>16</v>
      </c>
      <c r="C112" s="2011" t="s">
        <v>2734</v>
      </c>
      <c r="D112" s="2011" t="s">
        <v>2735</v>
      </c>
      <c r="E112" s="2011" t="s">
        <v>2736</v>
      </c>
      <c r="F112" s="2011" t="s">
        <v>2479</v>
      </c>
      <c r="G112" s="2011" t="s">
        <v>28</v>
      </c>
      <c r="H112" s="2011" t="s">
        <v>28</v>
      </c>
      <c r="I112" s="2011" t="s">
        <v>899</v>
      </c>
    </row>
    <row r="113" spans="1:9" ht="11.25" customHeight="1">
      <c r="A113" s="2011" t="s">
        <v>2344</v>
      </c>
      <c r="B113" s="2011" t="s">
        <v>16</v>
      </c>
      <c r="C113" s="2011" t="s">
        <v>2737</v>
      </c>
      <c r="D113" s="2011" t="s">
        <v>2738</v>
      </c>
      <c r="E113" s="2011" t="s">
        <v>2739</v>
      </c>
      <c r="F113" s="2011" t="s">
        <v>2355</v>
      </c>
      <c r="G113" s="2011" t="s">
        <v>28</v>
      </c>
      <c r="H113" s="2011" t="s">
        <v>28</v>
      </c>
      <c r="I113" s="2011" t="s">
        <v>899</v>
      </c>
    </row>
    <row r="114" spans="1:9" ht="11.25" customHeight="1">
      <c r="A114" s="2011" t="s">
        <v>2344</v>
      </c>
      <c r="B114" s="2011" t="s">
        <v>16</v>
      </c>
      <c r="C114" s="2011" t="s">
        <v>2740</v>
      </c>
      <c r="D114" s="2011" t="s">
        <v>2741</v>
      </c>
      <c r="E114" s="2011" t="s">
        <v>2742</v>
      </c>
      <c r="F114" s="2011" t="s">
        <v>2743</v>
      </c>
      <c r="G114" s="2011" t="s">
        <v>28</v>
      </c>
      <c r="H114" s="2011" t="s">
        <v>28</v>
      </c>
      <c r="I114" s="2011" t="s">
        <v>899</v>
      </c>
    </row>
    <row r="115" spans="1:9" ht="11.25" customHeight="1">
      <c r="A115" s="2011" t="s">
        <v>2344</v>
      </c>
      <c r="B115" s="2011" t="s">
        <v>16</v>
      </c>
      <c r="C115" s="2011" t="s">
        <v>2744</v>
      </c>
      <c r="D115" s="2011" t="s">
        <v>2745</v>
      </c>
      <c r="E115" s="2011" t="s">
        <v>2746</v>
      </c>
      <c r="F115" s="2011" t="s">
        <v>2405</v>
      </c>
      <c r="G115" s="2011" t="s">
        <v>28</v>
      </c>
      <c r="H115" s="2011" t="s">
        <v>28</v>
      </c>
      <c r="I115" s="2011" t="s">
        <v>899</v>
      </c>
    </row>
    <row r="116" spans="1:9" ht="11.25" customHeight="1">
      <c r="A116" s="2011" t="s">
        <v>2344</v>
      </c>
      <c r="B116" s="2011" t="s">
        <v>16</v>
      </c>
      <c r="C116" s="2011" t="s">
        <v>2747</v>
      </c>
      <c r="D116" s="2011" t="s">
        <v>2748</v>
      </c>
      <c r="E116" s="2011" t="s">
        <v>2749</v>
      </c>
      <c r="F116" s="2011" t="s">
        <v>2384</v>
      </c>
      <c r="G116" s="2011" t="s">
        <v>28</v>
      </c>
      <c r="H116" s="2011" t="s">
        <v>28</v>
      </c>
      <c r="I116" s="2011" t="s">
        <v>899</v>
      </c>
    </row>
    <row r="117" spans="1:9" ht="11.25" customHeight="1">
      <c r="A117" s="2011" t="s">
        <v>2344</v>
      </c>
      <c r="B117" s="2011" t="s">
        <v>16</v>
      </c>
      <c r="C117" s="2011" t="s">
        <v>2750</v>
      </c>
      <c r="D117" s="2011" t="s">
        <v>2751</v>
      </c>
      <c r="E117" s="2011" t="s">
        <v>2752</v>
      </c>
      <c r="F117" s="2011" t="s">
        <v>2489</v>
      </c>
      <c r="G117" s="2011" t="s">
        <v>28</v>
      </c>
      <c r="H117" s="2011" t="s">
        <v>28</v>
      </c>
      <c r="I117" s="2011" t="s">
        <v>899</v>
      </c>
    </row>
    <row r="118" spans="1:9" ht="11.25" customHeight="1">
      <c r="A118" s="2011" t="s">
        <v>2344</v>
      </c>
      <c r="B118" s="2011" t="s">
        <v>16</v>
      </c>
      <c r="C118" s="2011" t="s">
        <v>2753</v>
      </c>
      <c r="D118" s="2011" t="s">
        <v>2754</v>
      </c>
      <c r="E118" s="2011" t="s">
        <v>2755</v>
      </c>
      <c r="F118" s="2011" t="s">
        <v>2384</v>
      </c>
      <c r="G118" s="2011" t="s">
        <v>28</v>
      </c>
      <c r="H118" s="2011" t="s">
        <v>28</v>
      </c>
      <c r="I118" s="2011" t="s">
        <v>899</v>
      </c>
    </row>
    <row r="119" spans="1:9" ht="11.25" customHeight="1">
      <c r="A119" s="2011" t="s">
        <v>2344</v>
      </c>
      <c r="B119" s="2011" t="s">
        <v>16</v>
      </c>
      <c r="C119" s="2011" t="s">
        <v>2756</v>
      </c>
      <c r="D119" s="2011" t="s">
        <v>2757</v>
      </c>
      <c r="E119" s="2011" t="s">
        <v>2758</v>
      </c>
      <c r="F119" s="2011" t="s">
        <v>2384</v>
      </c>
      <c r="G119" s="2011" t="s">
        <v>28</v>
      </c>
      <c r="H119" s="2011" t="s">
        <v>28</v>
      </c>
      <c r="I119" s="2011" t="s">
        <v>899</v>
      </c>
    </row>
    <row r="120" spans="1:9" ht="11.25" customHeight="1">
      <c r="A120" s="2011" t="s">
        <v>2344</v>
      </c>
      <c r="B120" s="2011" t="s">
        <v>16</v>
      </c>
      <c r="C120" s="2011" t="s">
        <v>2759</v>
      </c>
      <c r="D120" s="2011" t="s">
        <v>2760</v>
      </c>
      <c r="E120" s="2011" t="s">
        <v>2761</v>
      </c>
      <c r="F120" s="2011" t="s">
        <v>2547</v>
      </c>
      <c r="G120" s="2011" t="s">
        <v>28</v>
      </c>
      <c r="H120" s="2011" t="s">
        <v>28</v>
      </c>
      <c r="I120" s="2011" t="s">
        <v>899</v>
      </c>
    </row>
    <row r="121" spans="1:9" ht="11.25" customHeight="1">
      <c r="A121" s="2011" t="s">
        <v>2344</v>
      </c>
      <c r="B121" s="2011" t="s">
        <v>16</v>
      </c>
      <c r="C121" s="2011" t="s">
        <v>2762</v>
      </c>
      <c r="D121" s="2011" t="s">
        <v>2763</v>
      </c>
      <c r="E121" s="2011" t="s">
        <v>2764</v>
      </c>
      <c r="F121" s="2011" t="s">
        <v>2765</v>
      </c>
      <c r="G121" s="2011" t="s">
        <v>28</v>
      </c>
      <c r="H121" s="2011" t="s">
        <v>28</v>
      </c>
      <c r="I121" s="2011" t="s">
        <v>899</v>
      </c>
    </row>
    <row r="122" spans="1:9" ht="11.25" customHeight="1">
      <c r="A122" s="2011" t="s">
        <v>2344</v>
      </c>
      <c r="B122" s="2011" t="s">
        <v>16</v>
      </c>
      <c r="C122" s="2011" t="s">
        <v>2766</v>
      </c>
      <c r="D122" s="2011" t="s">
        <v>2767</v>
      </c>
      <c r="E122" s="2011" t="s">
        <v>2768</v>
      </c>
      <c r="F122" s="2011" t="s">
        <v>2769</v>
      </c>
      <c r="G122" s="2011" t="s">
        <v>28</v>
      </c>
      <c r="H122" s="2011" t="s">
        <v>28</v>
      </c>
      <c r="I122" s="2011" t="s">
        <v>899</v>
      </c>
    </row>
    <row r="123" spans="1:9" ht="11.25" customHeight="1">
      <c r="A123" s="2011" t="s">
        <v>2344</v>
      </c>
      <c r="B123" s="2011" t="s">
        <v>16</v>
      </c>
      <c r="C123" s="2011" t="s">
        <v>2770</v>
      </c>
      <c r="D123" s="2011" t="s">
        <v>2771</v>
      </c>
      <c r="E123" s="2011" t="s">
        <v>2772</v>
      </c>
      <c r="F123" s="2011" t="s">
        <v>2376</v>
      </c>
      <c r="G123" s="2011" t="s">
        <v>28</v>
      </c>
      <c r="H123" s="2011" t="s">
        <v>28</v>
      </c>
      <c r="I123" s="2011" t="s">
        <v>899</v>
      </c>
    </row>
    <row r="124" spans="1:9" ht="11.25" customHeight="1">
      <c r="A124" s="2011" t="s">
        <v>2344</v>
      </c>
      <c r="B124" s="2011" t="s">
        <v>16</v>
      </c>
      <c r="C124" s="2011" t="s">
        <v>2773</v>
      </c>
      <c r="D124" s="2011" t="s">
        <v>2774</v>
      </c>
      <c r="E124" s="2011" t="s">
        <v>2775</v>
      </c>
      <c r="F124" s="2011" t="s">
        <v>2380</v>
      </c>
      <c r="G124" s="2011" t="s">
        <v>28</v>
      </c>
      <c r="H124" s="2011" t="s">
        <v>28</v>
      </c>
      <c r="I124" s="2011" t="s">
        <v>899</v>
      </c>
    </row>
    <row r="125" spans="1:9" ht="11.25" customHeight="1">
      <c r="A125" s="2011" t="s">
        <v>2344</v>
      </c>
      <c r="B125" s="2011" t="s">
        <v>16</v>
      </c>
      <c r="C125" s="2011" t="s">
        <v>28</v>
      </c>
      <c r="D125" s="2011" t="s">
        <v>2345</v>
      </c>
      <c r="E125" s="2011" t="s">
        <v>2346</v>
      </c>
      <c r="F125" s="2011" t="s">
        <v>2347</v>
      </c>
      <c r="G125" s="2011" t="s">
        <v>28</v>
      </c>
      <c r="H125" s="2011" t="s">
        <v>28</v>
      </c>
      <c r="I125" s="2011" t="s">
        <v>985</v>
      </c>
    </row>
    <row r="126" spans="1:9" ht="11.25" customHeight="1">
      <c r="A126" s="2011" t="s">
        <v>2344</v>
      </c>
      <c r="B126" s="2011" t="s">
        <v>16</v>
      </c>
      <c r="C126" s="2011" t="s">
        <v>2356</v>
      </c>
      <c r="D126" s="2011" t="s">
        <v>2357</v>
      </c>
      <c r="E126" s="2011" t="s">
        <v>2358</v>
      </c>
      <c r="F126" s="2011" t="s">
        <v>2359</v>
      </c>
      <c r="G126" s="2011" t="s">
        <v>28</v>
      </c>
      <c r="H126" s="2011" t="s">
        <v>28</v>
      </c>
      <c r="I126" s="2011" t="s">
        <v>985</v>
      </c>
    </row>
    <row r="127" spans="1:9" ht="11.25" customHeight="1">
      <c r="A127" s="2011" t="s">
        <v>2344</v>
      </c>
      <c r="B127" s="2011" t="s">
        <v>16</v>
      </c>
      <c r="C127" s="2011" t="s">
        <v>2360</v>
      </c>
      <c r="D127" s="2011" t="s">
        <v>2361</v>
      </c>
      <c r="E127" s="2011" t="s">
        <v>2362</v>
      </c>
      <c r="F127" s="2011" t="s">
        <v>2363</v>
      </c>
      <c r="G127" s="2011" t="s">
        <v>28</v>
      </c>
      <c r="H127" s="2011" t="s">
        <v>28</v>
      </c>
      <c r="I127" s="2011" t="s">
        <v>985</v>
      </c>
    </row>
    <row r="128" spans="1:9" ht="11.25" customHeight="1">
      <c r="A128" s="2011" t="s">
        <v>2344</v>
      </c>
      <c r="B128" s="2011" t="s">
        <v>16</v>
      </c>
      <c r="C128" s="2011" t="s">
        <v>2367</v>
      </c>
      <c r="D128" s="2011" t="s">
        <v>2368</v>
      </c>
      <c r="E128" s="2011" t="s">
        <v>2362</v>
      </c>
      <c r="F128" s="2011" t="s">
        <v>2369</v>
      </c>
      <c r="G128" s="2011" t="s">
        <v>28</v>
      </c>
      <c r="H128" s="2011" t="s">
        <v>28</v>
      </c>
      <c r="I128" s="2011" t="s">
        <v>985</v>
      </c>
    </row>
    <row r="129" spans="1:9" ht="11.25" customHeight="1">
      <c r="A129" s="2011" t="s">
        <v>2344</v>
      </c>
      <c r="B129" s="2011" t="s">
        <v>16</v>
      </c>
      <c r="C129" s="2011" t="s">
        <v>2370</v>
      </c>
      <c r="D129" s="2011" t="s">
        <v>2371</v>
      </c>
      <c r="E129" s="2011" t="s">
        <v>2362</v>
      </c>
      <c r="F129" s="2011" t="s">
        <v>2372</v>
      </c>
      <c r="G129" s="2011" t="s">
        <v>28</v>
      </c>
      <c r="H129" s="2011" t="s">
        <v>28</v>
      </c>
      <c r="I129" s="2011" t="s">
        <v>985</v>
      </c>
    </row>
    <row r="130" spans="1:9" ht="11.25" customHeight="1">
      <c r="A130" s="2011" t="s">
        <v>2344</v>
      </c>
      <c r="B130" s="2011" t="s">
        <v>16</v>
      </c>
      <c r="C130" s="2011" t="s">
        <v>2377</v>
      </c>
      <c r="D130" s="2011" t="s">
        <v>2378</v>
      </c>
      <c r="E130" s="2011" t="s">
        <v>2379</v>
      </c>
      <c r="F130" s="2011" t="s">
        <v>2380</v>
      </c>
      <c r="G130" s="2011" t="s">
        <v>28</v>
      </c>
      <c r="H130" s="2011" t="s">
        <v>28</v>
      </c>
      <c r="I130" s="2011" t="s">
        <v>985</v>
      </c>
    </row>
    <row r="131" spans="1:9" ht="11.25" customHeight="1">
      <c r="A131" s="2011" t="s">
        <v>2344</v>
      </c>
      <c r="B131" s="2011" t="s">
        <v>16</v>
      </c>
      <c r="C131" s="2011" t="s">
        <v>2385</v>
      </c>
      <c r="D131" s="2011" t="s">
        <v>2386</v>
      </c>
      <c r="E131" s="2011" t="s">
        <v>2387</v>
      </c>
      <c r="F131" s="2011" t="s">
        <v>2388</v>
      </c>
      <c r="G131" s="2011" t="s">
        <v>2389</v>
      </c>
      <c r="H131" s="2011" t="s">
        <v>28</v>
      </c>
      <c r="I131" s="2011" t="s">
        <v>985</v>
      </c>
    </row>
    <row r="132" spans="1:9" ht="11.25" customHeight="1">
      <c r="A132" s="2011" t="s">
        <v>2344</v>
      </c>
      <c r="B132" s="2011" t="s">
        <v>16</v>
      </c>
      <c r="C132" s="2011" t="s">
        <v>2402</v>
      </c>
      <c r="D132" s="2011" t="s">
        <v>2403</v>
      </c>
      <c r="E132" s="2011" t="s">
        <v>2404</v>
      </c>
      <c r="F132" s="2011" t="s">
        <v>2405</v>
      </c>
      <c r="G132" s="2011" t="s">
        <v>2406</v>
      </c>
      <c r="H132" s="2011" t="s">
        <v>28</v>
      </c>
      <c r="I132" s="2011" t="s">
        <v>985</v>
      </c>
    </row>
    <row r="133" spans="1:9" ht="11.25" customHeight="1">
      <c r="A133" s="2011" t="s">
        <v>2344</v>
      </c>
      <c r="B133" s="2011" t="s">
        <v>16</v>
      </c>
      <c r="C133" s="2011" t="s">
        <v>2407</v>
      </c>
      <c r="D133" s="2011" t="s">
        <v>2408</v>
      </c>
      <c r="E133" s="2011" t="s">
        <v>2409</v>
      </c>
      <c r="F133" s="2011" t="s">
        <v>2376</v>
      </c>
      <c r="G133" s="2011" t="s">
        <v>28</v>
      </c>
      <c r="H133" s="2011" t="s">
        <v>28</v>
      </c>
      <c r="I133" s="2011" t="s">
        <v>985</v>
      </c>
    </row>
    <row r="134" spans="1:9" ht="11.25" customHeight="1">
      <c r="A134" s="2011" t="s">
        <v>2344</v>
      </c>
      <c r="B134" s="2011" t="s">
        <v>16</v>
      </c>
      <c r="C134" s="2011" t="s">
        <v>2414</v>
      </c>
      <c r="D134" s="2011" t="s">
        <v>2415</v>
      </c>
      <c r="E134" s="2011" t="s">
        <v>2416</v>
      </c>
      <c r="F134" s="2011" t="s">
        <v>2384</v>
      </c>
      <c r="G134" s="2011" t="s">
        <v>2417</v>
      </c>
      <c r="H134" s="2011" t="s">
        <v>28</v>
      </c>
      <c r="I134" s="2011" t="s">
        <v>985</v>
      </c>
    </row>
    <row r="135" spans="1:9" ht="11.25" customHeight="1">
      <c r="A135" s="2011" t="s">
        <v>2344</v>
      </c>
      <c r="B135" s="2011" t="s">
        <v>16</v>
      </c>
      <c r="C135" s="2011" t="s">
        <v>2426</v>
      </c>
      <c r="D135" s="2011" t="s">
        <v>2427</v>
      </c>
      <c r="E135" s="2011" t="s">
        <v>2428</v>
      </c>
      <c r="F135" s="2011" t="s">
        <v>2429</v>
      </c>
      <c r="G135" s="2011" t="s">
        <v>28</v>
      </c>
      <c r="H135" s="2011" t="s">
        <v>28</v>
      </c>
      <c r="I135" s="2011" t="s">
        <v>985</v>
      </c>
    </row>
    <row r="136" spans="1:9" ht="11.25" customHeight="1">
      <c r="A136" s="2011" t="s">
        <v>2344</v>
      </c>
      <c r="B136" s="2011" t="s">
        <v>16</v>
      </c>
      <c r="C136" s="2011" t="s">
        <v>2444</v>
      </c>
      <c r="D136" s="2011" t="s">
        <v>2445</v>
      </c>
      <c r="E136" s="2011" t="s">
        <v>2442</v>
      </c>
      <c r="F136" s="2011" t="s">
        <v>2446</v>
      </c>
      <c r="G136" s="2011" t="s">
        <v>28</v>
      </c>
      <c r="H136" s="2011" t="s">
        <v>28</v>
      </c>
      <c r="I136" s="2011" t="s">
        <v>985</v>
      </c>
    </row>
    <row r="137" spans="1:9" ht="11.25" customHeight="1">
      <c r="A137" s="2011" t="s">
        <v>2344</v>
      </c>
      <c r="B137" s="2011" t="s">
        <v>16</v>
      </c>
      <c r="C137" s="2011" t="s">
        <v>2776</v>
      </c>
      <c r="D137" s="2011" t="s">
        <v>47</v>
      </c>
      <c r="E137" s="2011" t="s">
        <v>50</v>
      </c>
      <c r="F137" s="2011" t="s">
        <v>2777</v>
      </c>
      <c r="G137" s="2011" t="s">
        <v>28</v>
      </c>
      <c r="H137" s="2011" t="s">
        <v>28</v>
      </c>
      <c r="I137" s="2011" t="s">
        <v>985</v>
      </c>
    </row>
    <row r="138" spans="1:9" ht="11.25" customHeight="1">
      <c r="A138" s="2011" t="s">
        <v>2344</v>
      </c>
      <c r="B138" s="2011" t="s">
        <v>16</v>
      </c>
      <c r="C138" s="2011" t="s">
        <v>2778</v>
      </c>
      <c r="D138" s="2011" t="s">
        <v>47</v>
      </c>
      <c r="E138" s="2011" t="s">
        <v>50</v>
      </c>
      <c r="F138" s="2011" t="s">
        <v>2779</v>
      </c>
      <c r="G138" s="2011" t="s">
        <v>28</v>
      </c>
      <c r="H138" s="2011" t="s">
        <v>28</v>
      </c>
      <c r="I138" s="2011" t="s">
        <v>985</v>
      </c>
    </row>
    <row r="139" spans="1:9" ht="11.25" customHeight="1">
      <c r="A139" s="2011" t="s">
        <v>2344</v>
      </c>
      <c r="B139" s="2011" t="s">
        <v>16</v>
      </c>
      <c r="C139" s="2011" t="s">
        <v>2780</v>
      </c>
      <c r="D139" s="2011" t="s">
        <v>47</v>
      </c>
      <c r="E139" s="2011" t="s">
        <v>50</v>
      </c>
      <c r="F139" s="2011" t="s">
        <v>2781</v>
      </c>
      <c r="G139" s="2011" t="s">
        <v>28</v>
      </c>
      <c r="H139" s="2011" t="s">
        <v>28</v>
      </c>
      <c r="I139" s="2011" t="s">
        <v>985</v>
      </c>
    </row>
    <row r="140" spans="1:9" ht="11.25" customHeight="1">
      <c r="A140" s="2011" t="s">
        <v>2344</v>
      </c>
      <c r="B140" s="2011" t="s">
        <v>16</v>
      </c>
      <c r="C140" s="2011" t="s">
        <v>2782</v>
      </c>
      <c r="D140" s="2011" t="s">
        <v>47</v>
      </c>
      <c r="E140" s="2011" t="s">
        <v>50</v>
      </c>
      <c r="F140" s="2011" t="s">
        <v>2783</v>
      </c>
      <c r="G140" s="2011" t="s">
        <v>28</v>
      </c>
      <c r="H140" s="2011" t="s">
        <v>28</v>
      </c>
      <c r="I140" s="2011" t="s">
        <v>985</v>
      </c>
    </row>
    <row r="141" spans="1:9" ht="11.25" customHeight="1">
      <c r="A141" s="2011" t="s">
        <v>2344</v>
      </c>
      <c r="B141" s="2011" t="s">
        <v>16</v>
      </c>
      <c r="C141" s="2011" t="s">
        <v>2784</v>
      </c>
      <c r="D141" s="2011" t="s">
        <v>47</v>
      </c>
      <c r="E141" s="2011" t="s">
        <v>50</v>
      </c>
      <c r="F141" s="2011" t="s">
        <v>2785</v>
      </c>
      <c r="G141" s="2011" t="s">
        <v>28</v>
      </c>
      <c r="H141" s="2011" t="s">
        <v>28</v>
      </c>
      <c r="I141" s="2011" t="s">
        <v>985</v>
      </c>
    </row>
    <row r="142" spans="1:9" ht="11.25" customHeight="1">
      <c r="A142" s="2011" t="s">
        <v>2344</v>
      </c>
      <c r="B142" s="2011" t="s">
        <v>16</v>
      </c>
      <c r="C142" s="2011" t="s">
        <v>2786</v>
      </c>
      <c r="D142" s="2011" t="s">
        <v>47</v>
      </c>
      <c r="E142" s="2011" t="s">
        <v>50</v>
      </c>
      <c r="F142" s="2011" t="s">
        <v>2787</v>
      </c>
      <c r="G142" s="2011" t="s">
        <v>28</v>
      </c>
      <c r="H142" s="2011" t="s">
        <v>28</v>
      </c>
      <c r="I142" s="2011" t="s">
        <v>985</v>
      </c>
    </row>
    <row r="143" spans="1:9" ht="11.25" customHeight="1">
      <c r="A143" s="2011" t="s">
        <v>2344</v>
      </c>
      <c r="B143" s="2011" t="s">
        <v>16</v>
      </c>
      <c r="C143" s="2011" t="s">
        <v>2788</v>
      </c>
      <c r="D143" s="2011" t="s">
        <v>47</v>
      </c>
      <c r="E143" s="2011" t="s">
        <v>50</v>
      </c>
      <c r="F143" s="2011" t="s">
        <v>2789</v>
      </c>
      <c r="G143" s="2011" t="s">
        <v>28</v>
      </c>
      <c r="H143" s="2011" t="s">
        <v>28</v>
      </c>
      <c r="I143" s="2011" t="s">
        <v>985</v>
      </c>
    </row>
    <row r="144" spans="1:9" ht="11.25" customHeight="1">
      <c r="A144" s="2011" t="s">
        <v>2344</v>
      </c>
      <c r="B144" s="2011" t="s">
        <v>16</v>
      </c>
      <c r="C144" s="2011" t="s">
        <v>2790</v>
      </c>
      <c r="D144" s="2011" t="s">
        <v>47</v>
      </c>
      <c r="E144" s="2011" t="s">
        <v>50</v>
      </c>
      <c r="F144" s="2011" t="s">
        <v>2791</v>
      </c>
      <c r="G144" s="2011" t="s">
        <v>28</v>
      </c>
      <c r="H144" s="2011" t="s">
        <v>28</v>
      </c>
      <c r="I144" s="2011" t="s">
        <v>985</v>
      </c>
    </row>
    <row r="145" spans="1:9" ht="11.25" customHeight="1">
      <c r="A145" s="2011" t="s">
        <v>2344</v>
      </c>
      <c r="B145" s="2011" t="s">
        <v>16</v>
      </c>
      <c r="C145" s="2011" t="s">
        <v>2490</v>
      </c>
      <c r="D145" s="2011" t="s">
        <v>47</v>
      </c>
      <c r="E145" s="2011" t="s">
        <v>50</v>
      </c>
      <c r="F145" s="2011" t="s">
        <v>2489</v>
      </c>
      <c r="G145" s="2011" t="s">
        <v>28</v>
      </c>
      <c r="H145" s="2011" t="s">
        <v>28</v>
      </c>
      <c r="I145" s="2011" t="s">
        <v>985</v>
      </c>
    </row>
    <row r="146" spans="1:9" ht="11.25" customHeight="1">
      <c r="A146" s="2011" t="s">
        <v>2344</v>
      </c>
      <c r="B146" s="2011" t="s">
        <v>16</v>
      </c>
      <c r="C146" s="2011" t="s">
        <v>2792</v>
      </c>
      <c r="D146" s="2011" t="s">
        <v>2793</v>
      </c>
      <c r="E146" s="2011" t="s">
        <v>50</v>
      </c>
      <c r="F146" s="2011" t="s">
        <v>2794</v>
      </c>
      <c r="G146" s="2011" t="s">
        <v>28</v>
      </c>
      <c r="H146" s="2011" t="s">
        <v>28</v>
      </c>
      <c r="I146" s="2011" t="s">
        <v>985</v>
      </c>
    </row>
    <row r="147" spans="1:9" ht="11.25" customHeight="1">
      <c r="A147" s="2011" t="s">
        <v>2344</v>
      </c>
      <c r="B147" s="2011" t="s">
        <v>16</v>
      </c>
      <c r="C147" s="2011" t="s">
        <v>2499</v>
      </c>
      <c r="D147" s="2011" t="s">
        <v>2500</v>
      </c>
      <c r="E147" s="2011" t="s">
        <v>2501</v>
      </c>
      <c r="F147" s="2011" t="s">
        <v>2376</v>
      </c>
      <c r="G147" s="2011" t="s">
        <v>28</v>
      </c>
      <c r="H147" s="2011" t="s">
        <v>28</v>
      </c>
      <c r="I147" s="2011" t="s">
        <v>985</v>
      </c>
    </row>
    <row r="148" spans="1:9" ht="11.25" customHeight="1">
      <c r="A148" s="2011" t="s">
        <v>2344</v>
      </c>
      <c r="B148" s="2011" t="s">
        <v>16</v>
      </c>
      <c r="C148" s="2011" t="s">
        <v>2506</v>
      </c>
      <c r="D148" s="2011" t="s">
        <v>2507</v>
      </c>
      <c r="E148" s="2011" t="s">
        <v>2508</v>
      </c>
      <c r="F148" s="2011" t="s">
        <v>2509</v>
      </c>
      <c r="G148" s="2011" t="s">
        <v>28</v>
      </c>
      <c r="H148" s="2011" t="s">
        <v>28</v>
      </c>
      <c r="I148" s="2011" t="s">
        <v>985</v>
      </c>
    </row>
    <row r="149" spans="1:9" ht="11.25" customHeight="1">
      <c r="A149" s="2011" t="s">
        <v>2344</v>
      </c>
      <c r="B149" s="2011" t="s">
        <v>16</v>
      </c>
      <c r="C149" s="2011" t="s">
        <v>2527</v>
      </c>
      <c r="D149" s="2011" t="s">
        <v>2528</v>
      </c>
      <c r="E149" s="2011" t="s">
        <v>2529</v>
      </c>
      <c r="F149" s="2011" t="s">
        <v>2489</v>
      </c>
      <c r="G149" s="2011" t="s">
        <v>28</v>
      </c>
      <c r="H149" s="2011" t="s">
        <v>28</v>
      </c>
      <c r="I149" s="2011" t="s">
        <v>985</v>
      </c>
    </row>
    <row r="150" spans="1:9" ht="11.25" customHeight="1">
      <c r="A150" s="2011" t="s">
        <v>2344</v>
      </c>
      <c r="B150" s="2011" t="s">
        <v>16</v>
      </c>
      <c r="C150" s="2011" t="s">
        <v>2554</v>
      </c>
      <c r="D150" s="2011" t="s">
        <v>2555</v>
      </c>
      <c r="E150" s="2011" t="s">
        <v>2556</v>
      </c>
      <c r="F150" s="2011" t="s">
        <v>2384</v>
      </c>
      <c r="G150" s="2011" t="s">
        <v>28</v>
      </c>
      <c r="H150" s="2011" t="s">
        <v>28</v>
      </c>
      <c r="I150" s="2011" t="s">
        <v>985</v>
      </c>
    </row>
    <row r="151" spans="1:9" ht="11.25" customHeight="1">
      <c r="A151" s="2011" t="s">
        <v>2344</v>
      </c>
      <c r="B151" s="2011" t="s">
        <v>16</v>
      </c>
      <c r="C151" s="2011" t="s">
        <v>2557</v>
      </c>
      <c r="D151" s="2011" t="s">
        <v>2558</v>
      </c>
      <c r="E151" s="2011" t="s">
        <v>2442</v>
      </c>
      <c r="F151" s="2011" t="s">
        <v>2559</v>
      </c>
      <c r="G151" s="2011" t="s">
        <v>28</v>
      </c>
      <c r="H151" s="2011" t="s">
        <v>28</v>
      </c>
      <c r="I151" s="2011" t="s">
        <v>985</v>
      </c>
    </row>
    <row r="152" spans="1:9" ht="11.25" customHeight="1">
      <c r="A152" s="2011" t="s">
        <v>2344</v>
      </c>
      <c r="B152" s="2011" t="s">
        <v>16</v>
      </c>
      <c r="C152" s="2011" t="s">
        <v>2605</v>
      </c>
      <c r="D152" s="2011" t="s">
        <v>2606</v>
      </c>
      <c r="E152" s="2011" t="s">
        <v>2607</v>
      </c>
      <c r="F152" s="2011" t="s">
        <v>2608</v>
      </c>
      <c r="G152" s="2011" t="s">
        <v>2609</v>
      </c>
      <c r="H152" s="2011" t="s">
        <v>28</v>
      </c>
      <c r="I152" s="2011" t="s">
        <v>985</v>
      </c>
    </row>
    <row r="153" spans="1:9" ht="11.25" customHeight="1">
      <c r="A153" s="2011" t="s">
        <v>2344</v>
      </c>
      <c r="B153" s="2011" t="s">
        <v>16</v>
      </c>
      <c r="C153" s="2011" t="s">
        <v>2616</v>
      </c>
      <c r="D153" s="2011" t="s">
        <v>2617</v>
      </c>
      <c r="E153" s="2011" t="s">
        <v>2618</v>
      </c>
      <c r="F153" s="2011" t="s">
        <v>2619</v>
      </c>
      <c r="G153" s="2011" t="s">
        <v>28</v>
      </c>
      <c r="H153" s="2011" t="s">
        <v>28</v>
      </c>
      <c r="I153" s="2011" t="s">
        <v>985</v>
      </c>
    </row>
    <row r="154" spans="1:9" ht="11.25" customHeight="1">
      <c r="A154" s="2011" t="s">
        <v>2344</v>
      </c>
      <c r="B154" s="2011" t="s">
        <v>16</v>
      </c>
      <c r="C154" s="2011" t="s">
        <v>2663</v>
      </c>
      <c r="D154" s="2011" t="s">
        <v>2664</v>
      </c>
      <c r="E154" s="2011" t="s">
        <v>2665</v>
      </c>
      <c r="F154" s="2011" t="s">
        <v>2666</v>
      </c>
      <c r="G154" s="2011" t="s">
        <v>28</v>
      </c>
      <c r="H154" s="2011" t="s">
        <v>28</v>
      </c>
      <c r="I154" s="2011" t="s">
        <v>985</v>
      </c>
    </row>
    <row r="155" spans="1:9" ht="11.25" customHeight="1">
      <c r="A155" s="2011" t="s">
        <v>2344</v>
      </c>
      <c r="B155" s="2011" t="s">
        <v>16</v>
      </c>
      <c r="C155" s="2011" t="s">
        <v>2714</v>
      </c>
      <c r="D155" s="2011" t="s">
        <v>2715</v>
      </c>
      <c r="E155" s="2011" t="s">
        <v>2716</v>
      </c>
      <c r="F155" s="2011" t="s">
        <v>2347</v>
      </c>
      <c r="G155" s="2011" t="s">
        <v>28</v>
      </c>
      <c r="H155" s="2011" t="s">
        <v>28</v>
      </c>
      <c r="I155" s="2011" t="s">
        <v>985</v>
      </c>
    </row>
    <row r="156" spans="1:9" ht="11.25" customHeight="1">
      <c r="A156" s="2011" t="s">
        <v>2344</v>
      </c>
      <c r="B156" s="2011" t="s">
        <v>16</v>
      </c>
      <c r="C156" s="2011" t="s">
        <v>2720</v>
      </c>
      <c r="D156" s="2011" t="s">
        <v>2721</v>
      </c>
      <c r="E156" s="2011" t="s">
        <v>2722</v>
      </c>
      <c r="F156" s="2011" t="s">
        <v>2547</v>
      </c>
      <c r="G156" s="2011" t="s">
        <v>28</v>
      </c>
      <c r="H156" s="2011" t="s">
        <v>28</v>
      </c>
      <c r="I156" s="2011" t="s">
        <v>985</v>
      </c>
    </row>
    <row r="157" spans="1:9" ht="11.25" customHeight="1">
      <c r="A157" s="2011" t="s">
        <v>2344</v>
      </c>
      <c r="B157" s="2011" t="s">
        <v>16</v>
      </c>
      <c r="C157" s="2011" t="s">
        <v>2723</v>
      </c>
      <c r="D157" s="2011" t="s">
        <v>2724</v>
      </c>
      <c r="E157" s="2011" t="s">
        <v>2725</v>
      </c>
      <c r="F157" s="2011" t="s">
        <v>2726</v>
      </c>
      <c r="G157" s="2011" t="s">
        <v>2727</v>
      </c>
      <c r="H157" s="2011" t="s">
        <v>28</v>
      </c>
      <c r="I157" s="2011" t="s">
        <v>985</v>
      </c>
    </row>
    <row r="158" spans="1:9" ht="11.25" customHeight="1">
      <c r="A158" s="2011" t="s">
        <v>2344</v>
      </c>
      <c r="B158" s="2011" t="s">
        <v>16</v>
      </c>
      <c r="C158" s="2011" t="s">
        <v>2759</v>
      </c>
      <c r="D158" s="2011" t="s">
        <v>2760</v>
      </c>
      <c r="E158" s="2011" t="s">
        <v>2761</v>
      </c>
      <c r="F158" s="2011" t="s">
        <v>2547</v>
      </c>
      <c r="G158" s="2011" t="s">
        <v>28</v>
      </c>
      <c r="H158" s="2011" t="s">
        <v>28</v>
      </c>
      <c r="I158" s="2011" t="s">
        <v>985</v>
      </c>
    </row>
    <row r="159" spans="1:9" ht="11.25" customHeight="1">
      <c r="A159" s="2011" t="s">
        <v>2344</v>
      </c>
      <c r="B159" s="2011" t="s">
        <v>16</v>
      </c>
      <c r="C159" s="2011" t="s">
        <v>2770</v>
      </c>
      <c r="D159" s="2011" t="s">
        <v>2771</v>
      </c>
      <c r="E159" s="2011" t="s">
        <v>2772</v>
      </c>
      <c r="F159" s="2011" t="s">
        <v>2376</v>
      </c>
      <c r="G159" s="2011" t="s">
        <v>28</v>
      </c>
      <c r="H159" s="2011" t="s">
        <v>28</v>
      </c>
      <c r="I159" s="2011" t="s">
        <v>985</v>
      </c>
    </row>
    <row r="160" spans="1:9" ht="11.25" customHeight="1">
      <c r="A160" s="2011" t="s">
        <v>2344</v>
      </c>
      <c r="B160" s="2011" t="s">
        <v>16</v>
      </c>
      <c r="C160" s="2011" t="s">
        <v>28</v>
      </c>
      <c r="D160" s="2011" t="s">
        <v>2345</v>
      </c>
      <c r="E160" s="2011" t="s">
        <v>2346</v>
      </c>
      <c r="F160" s="2011" t="s">
        <v>2347</v>
      </c>
      <c r="G160" s="2011" t="s">
        <v>28</v>
      </c>
      <c r="H160" s="2011" t="s">
        <v>28</v>
      </c>
      <c r="I160" s="2011" t="s">
        <v>945</v>
      </c>
    </row>
    <row r="161" spans="1:9" ht="11.25" customHeight="1">
      <c r="A161" s="2011" t="s">
        <v>2344</v>
      </c>
      <c r="B161" s="2011" t="s">
        <v>16</v>
      </c>
      <c r="C161" s="2011" t="s">
        <v>2348</v>
      </c>
      <c r="D161" s="2011" t="s">
        <v>2349</v>
      </c>
      <c r="E161" s="2011" t="s">
        <v>2350</v>
      </c>
      <c r="F161" s="2011" t="s">
        <v>2351</v>
      </c>
      <c r="G161" s="2011" t="s">
        <v>28</v>
      </c>
      <c r="H161" s="2011" t="s">
        <v>28</v>
      </c>
      <c r="I161" s="2011" t="s">
        <v>945</v>
      </c>
    </row>
    <row r="162" spans="1:9" ht="11.25" customHeight="1">
      <c r="A162" s="2011" t="s">
        <v>2344</v>
      </c>
      <c r="B162" s="2011" t="s">
        <v>16</v>
      </c>
      <c r="C162" s="2011" t="s">
        <v>2356</v>
      </c>
      <c r="D162" s="2011" t="s">
        <v>2357</v>
      </c>
      <c r="E162" s="2011" t="s">
        <v>2358</v>
      </c>
      <c r="F162" s="2011" t="s">
        <v>2359</v>
      </c>
      <c r="G162" s="2011" t="s">
        <v>28</v>
      </c>
      <c r="H162" s="2011" t="s">
        <v>28</v>
      </c>
      <c r="I162" s="2011" t="s">
        <v>945</v>
      </c>
    </row>
    <row r="163" spans="1:9" ht="11.25" customHeight="1">
      <c r="A163" s="2011" t="s">
        <v>2344</v>
      </c>
      <c r="B163" s="2011" t="s">
        <v>16</v>
      </c>
      <c r="C163" s="2011" t="s">
        <v>2360</v>
      </c>
      <c r="D163" s="2011" t="s">
        <v>2361</v>
      </c>
      <c r="E163" s="2011" t="s">
        <v>2362</v>
      </c>
      <c r="F163" s="2011" t="s">
        <v>2363</v>
      </c>
      <c r="G163" s="2011" t="s">
        <v>28</v>
      </c>
      <c r="H163" s="2011" t="s">
        <v>28</v>
      </c>
      <c r="I163" s="2011" t="s">
        <v>945</v>
      </c>
    </row>
    <row r="164" spans="1:9" ht="11.25" customHeight="1">
      <c r="A164" s="2011" t="s">
        <v>2344</v>
      </c>
      <c r="B164" s="2011" t="s">
        <v>16</v>
      </c>
      <c r="C164" s="2011" t="s">
        <v>2364</v>
      </c>
      <c r="D164" s="2011" t="s">
        <v>2361</v>
      </c>
      <c r="E164" s="2011" t="s">
        <v>2362</v>
      </c>
      <c r="F164" s="2011" t="s">
        <v>2365</v>
      </c>
      <c r="G164" s="2011" t="s">
        <v>2366</v>
      </c>
      <c r="H164" s="2011" t="s">
        <v>28</v>
      </c>
      <c r="I164" s="2011" t="s">
        <v>945</v>
      </c>
    </row>
    <row r="165" spans="1:9" ht="11.25" customHeight="1">
      <c r="A165" s="2011" t="s">
        <v>2344</v>
      </c>
      <c r="B165" s="2011" t="s">
        <v>16</v>
      </c>
      <c r="C165" s="2011" t="s">
        <v>2370</v>
      </c>
      <c r="D165" s="2011" t="s">
        <v>2371</v>
      </c>
      <c r="E165" s="2011" t="s">
        <v>2362</v>
      </c>
      <c r="F165" s="2011" t="s">
        <v>2372</v>
      </c>
      <c r="G165" s="2011" t="s">
        <v>28</v>
      </c>
      <c r="H165" s="2011" t="s">
        <v>28</v>
      </c>
      <c r="I165" s="2011" t="s">
        <v>945</v>
      </c>
    </row>
    <row r="166" spans="1:9" ht="11.25" customHeight="1">
      <c r="A166" s="2011" t="s">
        <v>2344</v>
      </c>
      <c r="B166" s="2011" t="s">
        <v>16</v>
      </c>
      <c r="C166" s="2011" t="s">
        <v>2373</v>
      </c>
      <c r="D166" s="2011" t="s">
        <v>2374</v>
      </c>
      <c r="E166" s="2011" t="s">
        <v>2375</v>
      </c>
      <c r="F166" s="2011" t="s">
        <v>2376</v>
      </c>
      <c r="G166" s="2011" t="s">
        <v>28</v>
      </c>
      <c r="H166" s="2011" t="s">
        <v>28</v>
      </c>
      <c r="I166" s="2011" t="s">
        <v>945</v>
      </c>
    </row>
    <row r="167" spans="1:9" ht="11.25" customHeight="1">
      <c r="A167" s="2011" t="s">
        <v>2344</v>
      </c>
      <c r="B167" s="2011" t="s">
        <v>16</v>
      </c>
      <c r="C167" s="2011" t="s">
        <v>2381</v>
      </c>
      <c r="D167" s="2011" t="s">
        <v>2382</v>
      </c>
      <c r="E167" s="2011" t="s">
        <v>2383</v>
      </c>
      <c r="F167" s="2011" t="s">
        <v>2384</v>
      </c>
      <c r="G167" s="2011" t="s">
        <v>28</v>
      </c>
      <c r="H167" s="2011" t="s">
        <v>28</v>
      </c>
      <c r="I167" s="2011" t="s">
        <v>945</v>
      </c>
    </row>
    <row r="168" spans="1:9" ht="11.25" customHeight="1">
      <c r="A168" s="2011" t="s">
        <v>2344</v>
      </c>
      <c r="B168" s="2011" t="s">
        <v>16</v>
      </c>
      <c r="C168" s="2011" t="s">
        <v>2795</v>
      </c>
      <c r="D168" s="2011" t="s">
        <v>2796</v>
      </c>
      <c r="E168" s="2011" t="s">
        <v>2797</v>
      </c>
      <c r="F168" s="2011" t="s">
        <v>2591</v>
      </c>
      <c r="G168" s="2011" t="s">
        <v>2798</v>
      </c>
      <c r="H168" s="2011" t="s">
        <v>28</v>
      </c>
      <c r="I168" s="2011" t="s">
        <v>945</v>
      </c>
    </row>
    <row r="169" spans="1:9" ht="11.25" customHeight="1">
      <c r="A169" s="2011" t="s">
        <v>2344</v>
      </c>
      <c r="B169" s="2011" t="s">
        <v>16</v>
      </c>
      <c r="C169" s="2011" t="s">
        <v>2390</v>
      </c>
      <c r="D169" s="2011" t="s">
        <v>2391</v>
      </c>
      <c r="E169" s="2011" t="s">
        <v>2392</v>
      </c>
      <c r="F169" s="2011" t="s">
        <v>2355</v>
      </c>
      <c r="G169" s="2011" t="s">
        <v>28</v>
      </c>
      <c r="H169" s="2011" t="s">
        <v>28</v>
      </c>
      <c r="I169" s="2011" t="s">
        <v>945</v>
      </c>
    </row>
    <row r="170" spans="1:9" ht="11.25" customHeight="1">
      <c r="A170" s="2011" t="s">
        <v>2344</v>
      </c>
      <c r="B170" s="2011" t="s">
        <v>16</v>
      </c>
      <c r="C170" s="2011" t="s">
        <v>2799</v>
      </c>
      <c r="D170" s="2011" t="s">
        <v>2800</v>
      </c>
      <c r="E170" s="2011" t="s">
        <v>2801</v>
      </c>
      <c r="F170" s="2011" t="s">
        <v>2376</v>
      </c>
      <c r="G170" s="2011" t="s">
        <v>2802</v>
      </c>
      <c r="H170" s="2011" t="s">
        <v>28</v>
      </c>
      <c r="I170" s="2011" t="s">
        <v>945</v>
      </c>
    </row>
    <row r="171" spans="1:9" ht="11.25" customHeight="1">
      <c r="A171" s="2011" t="s">
        <v>2344</v>
      </c>
      <c r="B171" s="2011" t="s">
        <v>16</v>
      </c>
      <c r="C171" s="2011" t="s">
        <v>2402</v>
      </c>
      <c r="D171" s="2011" t="s">
        <v>2403</v>
      </c>
      <c r="E171" s="2011" t="s">
        <v>2404</v>
      </c>
      <c r="F171" s="2011" t="s">
        <v>2405</v>
      </c>
      <c r="G171" s="2011" t="s">
        <v>2406</v>
      </c>
      <c r="H171" s="2011" t="s">
        <v>28</v>
      </c>
      <c r="I171" s="2011" t="s">
        <v>945</v>
      </c>
    </row>
    <row r="172" spans="1:9" ht="11.25" customHeight="1">
      <c r="A172" s="2011" t="s">
        <v>2344</v>
      </c>
      <c r="B172" s="2011" t="s">
        <v>16</v>
      </c>
      <c r="C172" s="2011" t="s">
        <v>2803</v>
      </c>
      <c r="D172" s="2011" t="s">
        <v>2804</v>
      </c>
      <c r="E172" s="2011" t="s">
        <v>2805</v>
      </c>
      <c r="F172" s="2011" t="s">
        <v>2355</v>
      </c>
      <c r="G172" s="2011" t="s">
        <v>28</v>
      </c>
      <c r="H172" s="2011" t="s">
        <v>28</v>
      </c>
      <c r="I172" s="2011" t="s">
        <v>945</v>
      </c>
    </row>
    <row r="173" spans="1:9" ht="11.25" customHeight="1">
      <c r="A173" s="2011" t="s">
        <v>2344</v>
      </c>
      <c r="B173" s="2011" t="s">
        <v>16</v>
      </c>
      <c r="C173" s="2011" t="s">
        <v>2410</v>
      </c>
      <c r="D173" s="2011" t="s">
        <v>2411</v>
      </c>
      <c r="E173" s="2011" t="s">
        <v>2412</v>
      </c>
      <c r="F173" s="2011" t="s">
        <v>2413</v>
      </c>
      <c r="G173" s="2011" t="s">
        <v>28</v>
      </c>
      <c r="H173" s="2011" t="s">
        <v>28</v>
      </c>
      <c r="I173" s="2011" t="s">
        <v>945</v>
      </c>
    </row>
    <row r="174" spans="1:9" ht="11.25" customHeight="1">
      <c r="A174" s="2011" t="s">
        <v>2344</v>
      </c>
      <c r="B174" s="2011" t="s">
        <v>16</v>
      </c>
      <c r="C174" s="2011" t="s">
        <v>2806</v>
      </c>
      <c r="D174" s="2011" t="s">
        <v>2807</v>
      </c>
      <c r="E174" s="2011" t="s">
        <v>2808</v>
      </c>
      <c r="F174" s="2011" t="s">
        <v>2769</v>
      </c>
      <c r="G174" s="2011" t="s">
        <v>2809</v>
      </c>
      <c r="H174" s="2011" t="s">
        <v>28</v>
      </c>
      <c r="I174" s="2011" t="s">
        <v>945</v>
      </c>
    </row>
    <row r="175" spans="1:9" ht="11.25" customHeight="1">
      <c r="A175" s="2011" t="s">
        <v>2344</v>
      </c>
      <c r="B175" s="2011" t="s">
        <v>16</v>
      </c>
      <c r="C175" s="2011" t="s">
        <v>2422</v>
      </c>
      <c r="D175" s="2011" t="s">
        <v>2423</v>
      </c>
      <c r="E175" s="2011" t="s">
        <v>2424</v>
      </c>
      <c r="F175" s="2011" t="s">
        <v>2347</v>
      </c>
      <c r="G175" s="2011" t="s">
        <v>2425</v>
      </c>
      <c r="H175" s="2011" t="s">
        <v>28</v>
      </c>
      <c r="I175" s="2011" t="s">
        <v>945</v>
      </c>
    </row>
    <row r="176" spans="1:9" ht="11.25" customHeight="1">
      <c r="A176" s="2011" t="s">
        <v>2344</v>
      </c>
      <c r="B176" s="2011" t="s">
        <v>16</v>
      </c>
      <c r="C176" s="2011" t="s">
        <v>2810</v>
      </c>
      <c r="D176" s="2011" t="s">
        <v>2811</v>
      </c>
      <c r="E176" s="2011" t="s">
        <v>2812</v>
      </c>
      <c r="F176" s="2011" t="s">
        <v>2813</v>
      </c>
      <c r="G176" s="2011" t="s">
        <v>28</v>
      </c>
      <c r="H176" s="2011" t="s">
        <v>28</v>
      </c>
      <c r="I176" s="2011" t="s">
        <v>945</v>
      </c>
    </row>
    <row r="177" spans="1:9" ht="11.25" customHeight="1">
      <c r="A177" s="2011" t="s">
        <v>2344</v>
      </c>
      <c r="B177" s="2011" t="s">
        <v>16</v>
      </c>
      <c r="C177" s="2011" t="s">
        <v>2444</v>
      </c>
      <c r="D177" s="2011" t="s">
        <v>2445</v>
      </c>
      <c r="E177" s="2011" t="s">
        <v>2442</v>
      </c>
      <c r="F177" s="2011" t="s">
        <v>2446</v>
      </c>
      <c r="G177" s="2011" t="s">
        <v>28</v>
      </c>
      <c r="H177" s="2011" t="s">
        <v>28</v>
      </c>
      <c r="I177" s="2011" t="s">
        <v>945</v>
      </c>
    </row>
    <row r="178" spans="1:9" ht="11.25" customHeight="1">
      <c r="A178" s="2011" t="s">
        <v>2344</v>
      </c>
      <c r="B178" s="2011" t="s">
        <v>16</v>
      </c>
      <c r="C178" s="2011" t="s">
        <v>2814</v>
      </c>
      <c r="D178" s="2011" t="s">
        <v>2815</v>
      </c>
      <c r="E178" s="2011" t="s">
        <v>2816</v>
      </c>
      <c r="F178" s="2011" t="s">
        <v>2479</v>
      </c>
      <c r="G178" s="2011" t="s">
        <v>28</v>
      </c>
      <c r="H178" s="2011" t="s">
        <v>28</v>
      </c>
      <c r="I178" s="2011" t="s">
        <v>945</v>
      </c>
    </row>
    <row r="179" spans="1:9" ht="11.25" customHeight="1">
      <c r="A179" s="2011" t="s">
        <v>2344</v>
      </c>
      <c r="B179" s="2011" t="s">
        <v>16</v>
      </c>
      <c r="C179" s="2011" t="s">
        <v>2455</v>
      </c>
      <c r="D179" s="2011" t="s">
        <v>2456</v>
      </c>
      <c r="E179" s="2011" t="s">
        <v>2457</v>
      </c>
      <c r="F179" s="2011" t="s">
        <v>2396</v>
      </c>
      <c r="G179" s="2011" t="s">
        <v>28</v>
      </c>
      <c r="H179" s="2011" t="s">
        <v>28</v>
      </c>
      <c r="I179" s="2011" t="s">
        <v>945</v>
      </c>
    </row>
    <row r="180" spans="1:9" ht="11.25" customHeight="1">
      <c r="A180" s="2011" t="s">
        <v>2344</v>
      </c>
      <c r="B180" s="2011" t="s">
        <v>16</v>
      </c>
      <c r="C180" s="2011" t="s">
        <v>2817</v>
      </c>
      <c r="D180" s="2011" t="s">
        <v>2818</v>
      </c>
      <c r="E180" s="2011" t="s">
        <v>2819</v>
      </c>
      <c r="F180" s="2011" t="s">
        <v>667</v>
      </c>
      <c r="G180" s="2011" t="s">
        <v>28</v>
      </c>
      <c r="H180" s="2011" t="s">
        <v>28</v>
      </c>
      <c r="I180" s="2011" t="s">
        <v>945</v>
      </c>
    </row>
    <row r="181" spans="1:9" ht="11.25" customHeight="1">
      <c r="A181" s="2011" t="s">
        <v>2344</v>
      </c>
      <c r="B181" s="2011" t="s">
        <v>16</v>
      </c>
      <c r="C181" s="2011" t="s">
        <v>2820</v>
      </c>
      <c r="D181" s="2011" t="s">
        <v>2821</v>
      </c>
      <c r="E181" s="2011" t="s">
        <v>2822</v>
      </c>
      <c r="F181" s="2011" t="s">
        <v>667</v>
      </c>
      <c r="G181" s="2011" t="s">
        <v>28</v>
      </c>
      <c r="H181" s="2011" t="s">
        <v>28</v>
      </c>
      <c r="I181" s="2011" t="s">
        <v>945</v>
      </c>
    </row>
    <row r="182" spans="1:9" ht="11.25" customHeight="1">
      <c r="A182" s="2011" t="s">
        <v>2344</v>
      </c>
      <c r="B182" s="2011" t="s">
        <v>16</v>
      </c>
      <c r="C182" s="2011" t="s">
        <v>2823</v>
      </c>
      <c r="D182" s="2011" t="s">
        <v>2824</v>
      </c>
      <c r="E182" s="2011" t="s">
        <v>2825</v>
      </c>
      <c r="F182" s="2011" t="s">
        <v>667</v>
      </c>
      <c r="G182" s="2011" t="s">
        <v>28</v>
      </c>
      <c r="H182" s="2011" t="s">
        <v>28</v>
      </c>
      <c r="I182" s="2011" t="s">
        <v>945</v>
      </c>
    </row>
    <row r="183" spans="1:9" ht="11.25" customHeight="1">
      <c r="A183" s="2011" t="s">
        <v>2344</v>
      </c>
      <c r="B183" s="2011" t="s">
        <v>16</v>
      </c>
      <c r="C183" s="2011" t="s">
        <v>2480</v>
      </c>
      <c r="D183" s="2011" t="s">
        <v>2481</v>
      </c>
      <c r="E183" s="2011" t="s">
        <v>2482</v>
      </c>
      <c r="F183" s="2011" t="s">
        <v>2450</v>
      </c>
      <c r="G183" s="2011" t="s">
        <v>28</v>
      </c>
      <c r="H183" s="2011" t="s">
        <v>28</v>
      </c>
      <c r="I183" s="2011" t="s">
        <v>945</v>
      </c>
    </row>
    <row r="184" spans="1:9" ht="11.25" customHeight="1">
      <c r="A184" s="2011" t="s">
        <v>2344</v>
      </c>
      <c r="B184" s="2011" t="s">
        <v>16</v>
      </c>
      <c r="C184" s="2011" t="s">
        <v>13</v>
      </c>
      <c r="D184" s="2011" t="s">
        <v>47</v>
      </c>
      <c r="E184" s="2011" t="s">
        <v>50</v>
      </c>
      <c r="F184" s="2011" t="s">
        <v>52</v>
      </c>
      <c r="G184" s="2011" t="s">
        <v>28</v>
      </c>
      <c r="H184" s="2011" t="s">
        <v>28</v>
      </c>
      <c r="I184" s="2011" t="s">
        <v>945</v>
      </c>
    </row>
    <row r="185" spans="1:9" ht="11.25" customHeight="1">
      <c r="A185" s="2011" t="s">
        <v>2344</v>
      </c>
      <c r="B185" s="2011" t="s">
        <v>16</v>
      </c>
      <c r="C185" s="2011" t="s">
        <v>2776</v>
      </c>
      <c r="D185" s="2011" t="s">
        <v>47</v>
      </c>
      <c r="E185" s="2011" t="s">
        <v>50</v>
      </c>
      <c r="F185" s="2011" t="s">
        <v>2777</v>
      </c>
      <c r="G185" s="2011" t="s">
        <v>28</v>
      </c>
      <c r="H185" s="2011" t="s">
        <v>28</v>
      </c>
      <c r="I185" s="2011" t="s">
        <v>945</v>
      </c>
    </row>
    <row r="186" spans="1:9" ht="11.25" customHeight="1">
      <c r="A186" s="2011" t="s">
        <v>2344</v>
      </c>
      <c r="B186" s="2011" t="s">
        <v>16</v>
      </c>
      <c r="C186" s="2011" t="s">
        <v>2778</v>
      </c>
      <c r="D186" s="2011" t="s">
        <v>47</v>
      </c>
      <c r="E186" s="2011" t="s">
        <v>50</v>
      </c>
      <c r="F186" s="2011" t="s">
        <v>2779</v>
      </c>
      <c r="G186" s="2011" t="s">
        <v>28</v>
      </c>
      <c r="H186" s="2011" t="s">
        <v>28</v>
      </c>
      <c r="I186" s="2011" t="s">
        <v>945</v>
      </c>
    </row>
    <row r="187" spans="1:9" ht="11.25" customHeight="1">
      <c r="A187" s="2011" t="s">
        <v>2344</v>
      </c>
      <c r="B187" s="2011" t="s">
        <v>16</v>
      </c>
      <c r="C187" s="2011" t="s">
        <v>2780</v>
      </c>
      <c r="D187" s="2011" t="s">
        <v>47</v>
      </c>
      <c r="E187" s="2011" t="s">
        <v>50</v>
      </c>
      <c r="F187" s="2011" t="s">
        <v>2781</v>
      </c>
      <c r="G187" s="2011" t="s">
        <v>28</v>
      </c>
      <c r="H187" s="2011" t="s">
        <v>28</v>
      </c>
      <c r="I187" s="2011" t="s">
        <v>945</v>
      </c>
    </row>
    <row r="188" spans="1:9" ht="11.25" customHeight="1">
      <c r="A188" s="2011" t="s">
        <v>2344</v>
      </c>
      <c r="B188" s="2011" t="s">
        <v>16</v>
      </c>
      <c r="C188" s="2011" t="s">
        <v>2826</v>
      </c>
      <c r="D188" s="2011" t="s">
        <v>47</v>
      </c>
      <c r="E188" s="2011" t="s">
        <v>50</v>
      </c>
      <c r="F188" s="2011" t="s">
        <v>2827</v>
      </c>
      <c r="G188" s="2011" t="s">
        <v>28</v>
      </c>
      <c r="H188" s="2011" t="s">
        <v>28</v>
      </c>
      <c r="I188" s="2011" t="s">
        <v>945</v>
      </c>
    </row>
    <row r="189" spans="1:9" ht="11.25" customHeight="1">
      <c r="A189" s="2011" t="s">
        <v>2344</v>
      </c>
      <c r="B189" s="2011" t="s">
        <v>16</v>
      </c>
      <c r="C189" s="2011" t="s">
        <v>2782</v>
      </c>
      <c r="D189" s="2011" t="s">
        <v>47</v>
      </c>
      <c r="E189" s="2011" t="s">
        <v>50</v>
      </c>
      <c r="F189" s="2011" t="s">
        <v>2783</v>
      </c>
      <c r="G189" s="2011" t="s">
        <v>28</v>
      </c>
      <c r="H189" s="2011" t="s">
        <v>28</v>
      </c>
      <c r="I189" s="2011" t="s">
        <v>945</v>
      </c>
    </row>
    <row r="190" spans="1:9" ht="11.25" customHeight="1">
      <c r="A190" s="2011" t="s">
        <v>2344</v>
      </c>
      <c r="B190" s="2011" t="s">
        <v>16</v>
      </c>
      <c r="C190" s="2011" t="s">
        <v>2784</v>
      </c>
      <c r="D190" s="2011" t="s">
        <v>47</v>
      </c>
      <c r="E190" s="2011" t="s">
        <v>50</v>
      </c>
      <c r="F190" s="2011" t="s">
        <v>2785</v>
      </c>
      <c r="G190" s="2011" t="s">
        <v>28</v>
      </c>
      <c r="H190" s="2011" t="s">
        <v>28</v>
      </c>
      <c r="I190" s="2011" t="s">
        <v>945</v>
      </c>
    </row>
    <row r="191" spans="1:9" ht="11.25" customHeight="1">
      <c r="A191" s="2011" t="s">
        <v>2344</v>
      </c>
      <c r="B191" s="2011" t="s">
        <v>16</v>
      </c>
      <c r="C191" s="2011" t="s">
        <v>2786</v>
      </c>
      <c r="D191" s="2011" t="s">
        <v>47</v>
      </c>
      <c r="E191" s="2011" t="s">
        <v>50</v>
      </c>
      <c r="F191" s="2011" t="s">
        <v>2787</v>
      </c>
      <c r="G191" s="2011" t="s">
        <v>28</v>
      </c>
      <c r="H191" s="2011" t="s">
        <v>28</v>
      </c>
      <c r="I191" s="2011" t="s">
        <v>945</v>
      </c>
    </row>
    <row r="192" spans="1:9" ht="11.25" customHeight="1">
      <c r="A192" s="2011" t="s">
        <v>2344</v>
      </c>
      <c r="B192" s="2011" t="s">
        <v>16</v>
      </c>
      <c r="C192" s="2011" t="s">
        <v>2788</v>
      </c>
      <c r="D192" s="2011" t="s">
        <v>47</v>
      </c>
      <c r="E192" s="2011" t="s">
        <v>50</v>
      </c>
      <c r="F192" s="2011" t="s">
        <v>2789</v>
      </c>
      <c r="G192" s="2011" t="s">
        <v>28</v>
      </c>
      <c r="H192" s="2011" t="s">
        <v>28</v>
      </c>
      <c r="I192" s="2011" t="s">
        <v>945</v>
      </c>
    </row>
    <row r="193" spans="1:9" ht="11.25" customHeight="1">
      <c r="A193" s="2011" t="s">
        <v>2344</v>
      </c>
      <c r="B193" s="2011" t="s">
        <v>16</v>
      </c>
      <c r="C193" s="2011" t="s">
        <v>2790</v>
      </c>
      <c r="D193" s="2011" t="s">
        <v>47</v>
      </c>
      <c r="E193" s="2011" t="s">
        <v>50</v>
      </c>
      <c r="F193" s="2011" t="s">
        <v>2791</v>
      </c>
      <c r="G193" s="2011" t="s">
        <v>28</v>
      </c>
      <c r="H193" s="2011" t="s">
        <v>28</v>
      </c>
      <c r="I193" s="2011" t="s">
        <v>945</v>
      </c>
    </row>
    <row r="194" spans="1:9" ht="11.25" customHeight="1">
      <c r="A194" s="2011" t="s">
        <v>2344</v>
      </c>
      <c r="B194" s="2011" t="s">
        <v>16</v>
      </c>
      <c r="C194" s="2011" t="s">
        <v>2490</v>
      </c>
      <c r="D194" s="2011" t="s">
        <v>47</v>
      </c>
      <c r="E194" s="2011" t="s">
        <v>50</v>
      </c>
      <c r="F194" s="2011" t="s">
        <v>2489</v>
      </c>
      <c r="G194" s="2011" t="s">
        <v>28</v>
      </c>
      <c r="H194" s="2011" t="s">
        <v>28</v>
      </c>
      <c r="I194" s="2011" t="s">
        <v>945</v>
      </c>
    </row>
    <row r="195" spans="1:9" ht="11.25" customHeight="1">
      <c r="A195" s="2011" t="s">
        <v>2344</v>
      </c>
      <c r="B195" s="2011" t="s">
        <v>16</v>
      </c>
      <c r="C195" s="2011" t="s">
        <v>2828</v>
      </c>
      <c r="D195" s="2011" t="s">
        <v>2829</v>
      </c>
      <c r="E195" s="2011" t="s">
        <v>2830</v>
      </c>
      <c r="F195" s="2011" t="s">
        <v>2376</v>
      </c>
      <c r="G195" s="2011" t="s">
        <v>28</v>
      </c>
      <c r="H195" s="2011" t="s">
        <v>28</v>
      </c>
      <c r="I195" s="2011" t="s">
        <v>945</v>
      </c>
    </row>
    <row r="196" spans="1:9" ht="11.25" customHeight="1">
      <c r="A196" s="2011" t="s">
        <v>2344</v>
      </c>
      <c r="B196" s="2011" t="s">
        <v>16</v>
      </c>
      <c r="C196" s="2011" t="s">
        <v>2831</v>
      </c>
      <c r="D196" s="2011" t="s">
        <v>2829</v>
      </c>
      <c r="E196" s="2011" t="s">
        <v>2830</v>
      </c>
      <c r="F196" s="2011" t="s">
        <v>2832</v>
      </c>
      <c r="G196" s="2011" t="s">
        <v>28</v>
      </c>
      <c r="H196" s="2011" t="s">
        <v>28</v>
      </c>
      <c r="I196" s="2011" t="s">
        <v>945</v>
      </c>
    </row>
    <row r="197" spans="1:9" ht="11.25" customHeight="1">
      <c r="A197" s="2011" t="s">
        <v>2344</v>
      </c>
      <c r="B197" s="2011" t="s">
        <v>16</v>
      </c>
      <c r="C197" s="2011" t="s">
        <v>2833</v>
      </c>
      <c r="D197" s="2011" t="s">
        <v>2793</v>
      </c>
      <c r="E197" s="2011" t="s">
        <v>50</v>
      </c>
      <c r="F197" s="2011" t="s">
        <v>2834</v>
      </c>
      <c r="G197" s="2011" t="s">
        <v>28</v>
      </c>
      <c r="H197" s="2011" t="s">
        <v>28</v>
      </c>
      <c r="I197" s="2011" t="s">
        <v>945</v>
      </c>
    </row>
    <row r="198" spans="1:9" ht="11.25" customHeight="1">
      <c r="A198" s="2011" t="s">
        <v>2344</v>
      </c>
      <c r="B198" s="2011" t="s">
        <v>16</v>
      </c>
      <c r="C198" s="2011" t="s">
        <v>2792</v>
      </c>
      <c r="D198" s="2011" t="s">
        <v>2793</v>
      </c>
      <c r="E198" s="2011" t="s">
        <v>50</v>
      </c>
      <c r="F198" s="2011" t="s">
        <v>2794</v>
      </c>
      <c r="G198" s="2011" t="s">
        <v>28</v>
      </c>
      <c r="H198" s="2011" t="s">
        <v>28</v>
      </c>
      <c r="I198" s="2011" t="s">
        <v>945</v>
      </c>
    </row>
    <row r="199" spans="1:9" ht="11.25" customHeight="1">
      <c r="A199" s="2011" t="s">
        <v>2344</v>
      </c>
      <c r="B199" s="2011" t="s">
        <v>16</v>
      </c>
      <c r="C199" s="2011" t="s">
        <v>2835</v>
      </c>
      <c r="D199" s="2011" t="s">
        <v>2836</v>
      </c>
      <c r="E199" s="2011" t="s">
        <v>2837</v>
      </c>
      <c r="F199" s="2011" t="s">
        <v>2384</v>
      </c>
      <c r="G199" s="2011" t="s">
        <v>28</v>
      </c>
      <c r="H199" s="2011" t="s">
        <v>28</v>
      </c>
      <c r="I199" s="2011" t="s">
        <v>945</v>
      </c>
    </row>
    <row r="200" spans="1:9" ht="11.25" customHeight="1">
      <c r="A200" s="2011" t="s">
        <v>2344</v>
      </c>
      <c r="B200" s="2011" t="s">
        <v>16</v>
      </c>
      <c r="C200" s="2011" t="s">
        <v>2838</v>
      </c>
      <c r="D200" s="2011" t="s">
        <v>2839</v>
      </c>
      <c r="E200" s="2011" t="s">
        <v>2840</v>
      </c>
      <c r="F200" s="2011" t="s">
        <v>2578</v>
      </c>
      <c r="G200" s="2011" t="s">
        <v>28</v>
      </c>
      <c r="H200" s="2011" t="s">
        <v>28</v>
      </c>
      <c r="I200" s="2011" t="s">
        <v>945</v>
      </c>
    </row>
    <row r="201" spans="1:9" ht="11.25" customHeight="1">
      <c r="A201" s="2011" t="s">
        <v>2344</v>
      </c>
      <c r="B201" s="2011" t="s">
        <v>16</v>
      </c>
      <c r="C201" s="2011" t="s">
        <v>2841</v>
      </c>
      <c r="D201" s="2011" t="s">
        <v>2842</v>
      </c>
      <c r="E201" s="2011" t="s">
        <v>2843</v>
      </c>
      <c r="F201" s="2011" t="s">
        <v>2687</v>
      </c>
      <c r="G201" s="2011" t="s">
        <v>28</v>
      </c>
      <c r="H201" s="2011" t="s">
        <v>28</v>
      </c>
      <c r="I201" s="2011" t="s">
        <v>945</v>
      </c>
    </row>
    <row r="202" spans="1:9" ht="11.25" customHeight="1">
      <c r="A202" s="2011" t="s">
        <v>2344</v>
      </c>
      <c r="B202" s="2011" t="s">
        <v>16</v>
      </c>
      <c r="C202" s="2011" t="s">
        <v>2844</v>
      </c>
      <c r="D202" s="2011" t="s">
        <v>2845</v>
      </c>
      <c r="E202" s="2011" t="s">
        <v>2846</v>
      </c>
      <c r="F202" s="2011" t="s">
        <v>2405</v>
      </c>
      <c r="G202" s="2011" t="s">
        <v>28</v>
      </c>
      <c r="H202" s="2011" t="s">
        <v>28</v>
      </c>
      <c r="I202" s="2011" t="s">
        <v>945</v>
      </c>
    </row>
    <row r="203" spans="1:9" ht="11.25" customHeight="1">
      <c r="A203" s="2011" t="s">
        <v>2344</v>
      </c>
      <c r="B203" s="2011" t="s">
        <v>16</v>
      </c>
      <c r="C203" s="2011" t="s">
        <v>2847</v>
      </c>
      <c r="D203" s="2011" t="s">
        <v>2848</v>
      </c>
      <c r="E203" s="2011" t="s">
        <v>2849</v>
      </c>
      <c r="F203" s="2011" t="s">
        <v>2498</v>
      </c>
      <c r="G203" s="2011" t="s">
        <v>28</v>
      </c>
      <c r="H203" s="2011" t="s">
        <v>28</v>
      </c>
      <c r="I203" s="2011" t="s">
        <v>945</v>
      </c>
    </row>
    <row r="204" spans="1:9" ht="11.25" customHeight="1">
      <c r="A204" s="2011" t="s">
        <v>2344</v>
      </c>
      <c r="B204" s="2011" t="s">
        <v>16</v>
      </c>
      <c r="C204" s="2011" t="s">
        <v>2850</v>
      </c>
      <c r="D204" s="2011" t="s">
        <v>2851</v>
      </c>
      <c r="E204" s="2011" t="s">
        <v>2852</v>
      </c>
      <c r="F204" s="2011" t="s">
        <v>2853</v>
      </c>
      <c r="G204" s="2011" t="s">
        <v>28</v>
      </c>
      <c r="H204" s="2011" t="s">
        <v>28</v>
      </c>
      <c r="I204" s="2011" t="s">
        <v>945</v>
      </c>
    </row>
    <row r="205" spans="1:9" ht="11.25" customHeight="1">
      <c r="A205" s="2011" t="s">
        <v>2344</v>
      </c>
      <c r="B205" s="2011" t="s">
        <v>16</v>
      </c>
      <c r="C205" s="2011" t="s">
        <v>2854</v>
      </c>
      <c r="D205" s="2011" t="s">
        <v>2855</v>
      </c>
      <c r="E205" s="2011" t="s">
        <v>2856</v>
      </c>
      <c r="F205" s="2011" t="s">
        <v>2405</v>
      </c>
      <c r="G205" s="2011" t="s">
        <v>28</v>
      </c>
      <c r="H205" s="2011" t="s">
        <v>28</v>
      </c>
      <c r="I205" s="2011" t="s">
        <v>945</v>
      </c>
    </row>
    <row r="206" spans="1:9" ht="11.25" customHeight="1">
      <c r="A206" s="2011" t="s">
        <v>2344</v>
      </c>
      <c r="B206" s="2011" t="s">
        <v>16</v>
      </c>
      <c r="C206" s="2011" t="s">
        <v>2495</v>
      </c>
      <c r="D206" s="2011" t="s">
        <v>2496</v>
      </c>
      <c r="E206" s="2011" t="s">
        <v>2497</v>
      </c>
      <c r="F206" s="2011" t="s">
        <v>2498</v>
      </c>
      <c r="G206" s="2011" t="s">
        <v>28</v>
      </c>
      <c r="H206" s="2011" t="s">
        <v>28</v>
      </c>
      <c r="I206" s="2011" t="s">
        <v>945</v>
      </c>
    </row>
    <row r="207" spans="1:9" ht="11.25" customHeight="1">
      <c r="A207" s="2011" t="s">
        <v>2344</v>
      </c>
      <c r="B207" s="2011" t="s">
        <v>16</v>
      </c>
      <c r="C207" s="2011" t="s">
        <v>2857</v>
      </c>
      <c r="D207" s="2011" t="s">
        <v>2858</v>
      </c>
      <c r="E207" s="2011" t="s">
        <v>2859</v>
      </c>
      <c r="F207" s="2011" t="s">
        <v>2516</v>
      </c>
      <c r="G207" s="2011" t="s">
        <v>2860</v>
      </c>
      <c r="H207" s="2011" t="s">
        <v>28</v>
      </c>
      <c r="I207" s="2011" t="s">
        <v>945</v>
      </c>
    </row>
    <row r="208" spans="1:9" ht="11.25" customHeight="1">
      <c r="A208" s="2011" t="s">
        <v>2344</v>
      </c>
      <c r="B208" s="2011" t="s">
        <v>16</v>
      </c>
      <c r="C208" s="2011" t="s">
        <v>2861</v>
      </c>
      <c r="D208" s="2011" t="s">
        <v>2862</v>
      </c>
      <c r="E208" s="2011" t="s">
        <v>2863</v>
      </c>
      <c r="F208" s="2011" t="s">
        <v>2864</v>
      </c>
      <c r="G208" s="2011" t="s">
        <v>28</v>
      </c>
      <c r="H208" s="2011" t="s">
        <v>28</v>
      </c>
      <c r="I208" s="2011" t="s">
        <v>945</v>
      </c>
    </row>
    <row r="209" spans="1:9" ht="11.25" customHeight="1">
      <c r="A209" s="2011" t="s">
        <v>2344</v>
      </c>
      <c r="B209" s="2011" t="s">
        <v>16</v>
      </c>
      <c r="C209" s="2011" t="s">
        <v>2865</v>
      </c>
      <c r="D209" s="2011" t="s">
        <v>2866</v>
      </c>
      <c r="E209" s="2011" t="s">
        <v>2867</v>
      </c>
      <c r="F209" s="2011" t="s">
        <v>2516</v>
      </c>
      <c r="G209" s="2011" t="s">
        <v>28</v>
      </c>
      <c r="H209" s="2011" t="s">
        <v>28</v>
      </c>
      <c r="I209" s="2011" t="s">
        <v>945</v>
      </c>
    </row>
    <row r="210" spans="1:9" ht="11.25" customHeight="1">
      <c r="A210" s="2011" t="s">
        <v>2344</v>
      </c>
      <c r="B210" s="2011" t="s">
        <v>16</v>
      </c>
      <c r="C210" s="2011" t="s">
        <v>2868</v>
      </c>
      <c r="D210" s="2011" t="s">
        <v>2869</v>
      </c>
      <c r="E210" s="2011" t="s">
        <v>2870</v>
      </c>
      <c r="F210" s="2011" t="s">
        <v>2384</v>
      </c>
      <c r="G210" s="2011" t="s">
        <v>2871</v>
      </c>
      <c r="H210" s="2011" t="s">
        <v>28</v>
      </c>
      <c r="I210" s="2011" t="s">
        <v>945</v>
      </c>
    </row>
    <row r="211" spans="1:9" ht="11.25" customHeight="1">
      <c r="A211" s="2011" t="s">
        <v>2344</v>
      </c>
      <c r="B211" s="2011" t="s">
        <v>16</v>
      </c>
      <c r="C211" s="2011" t="s">
        <v>2872</v>
      </c>
      <c r="D211" s="2011" t="s">
        <v>2873</v>
      </c>
      <c r="E211" s="2011" t="s">
        <v>2874</v>
      </c>
      <c r="F211" s="2011" t="s">
        <v>2384</v>
      </c>
      <c r="G211" s="2011" t="s">
        <v>2875</v>
      </c>
      <c r="H211" s="2011" t="s">
        <v>28</v>
      </c>
      <c r="I211" s="2011" t="s">
        <v>945</v>
      </c>
    </row>
    <row r="212" spans="1:9" ht="11.25" customHeight="1">
      <c r="A212" s="2011" t="s">
        <v>2344</v>
      </c>
      <c r="B212" s="2011" t="s">
        <v>16</v>
      </c>
      <c r="C212" s="2011" t="s">
        <v>2502</v>
      </c>
      <c r="D212" s="2011" t="s">
        <v>2503</v>
      </c>
      <c r="E212" s="2011" t="s">
        <v>2504</v>
      </c>
      <c r="F212" s="2011" t="s">
        <v>2505</v>
      </c>
      <c r="G212" s="2011" t="s">
        <v>28</v>
      </c>
      <c r="H212" s="2011" t="s">
        <v>28</v>
      </c>
      <c r="I212" s="2011" t="s">
        <v>945</v>
      </c>
    </row>
    <row r="213" spans="1:9" ht="11.25" customHeight="1">
      <c r="A213" s="2011" t="s">
        <v>2344</v>
      </c>
      <c r="B213" s="2011" t="s">
        <v>16</v>
      </c>
      <c r="C213" s="2011" t="s">
        <v>2506</v>
      </c>
      <c r="D213" s="2011" t="s">
        <v>2507</v>
      </c>
      <c r="E213" s="2011" t="s">
        <v>2508</v>
      </c>
      <c r="F213" s="2011" t="s">
        <v>2509</v>
      </c>
      <c r="G213" s="2011" t="s">
        <v>28</v>
      </c>
      <c r="H213" s="2011" t="s">
        <v>28</v>
      </c>
      <c r="I213" s="2011" t="s">
        <v>945</v>
      </c>
    </row>
    <row r="214" spans="1:9" ht="11.25" customHeight="1">
      <c r="A214" s="2011" t="s">
        <v>2344</v>
      </c>
      <c r="B214" s="2011" t="s">
        <v>16</v>
      </c>
      <c r="C214" s="2011" t="s">
        <v>2510</v>
      </c>
      <c r="D214" s="2011" t="s">
        <v>2511</v>
      </c>
      <c r="E214" s="2011" t="s">
        <v>2512</v>
      </c>
      <c r="F214" s="2011" t="s">
        <v>2509</v>
      </c>
      <c r="G214" s="2011" t="s">
        <v>28</v>
      </c>
      <c r="H214" s="2011" t="s">
        <v>28</v>
      </c>
      <c r="I214" s="2011" t="s">
        <v>945</v>
      </c>
    </row>
    <row r="215" spans="1:9" ht="11.25" customHeight="1">
      <c r="A215" s="2011" t="s">
        <v>2344</v>
      </c>
      <c r="B215" s="2011" t="s">
        <v>16</v>
      </c>
      <c r="C215" s="2011" t="s">
        <v>2513</v>
      </c>
      <c r="D215" s="2011" t="s">
        <v>2514</v>
      </c>
      <c r="E215" s="2011" t="s">
        <v>2515</v>
      </c>
      <c r="F215" s="2011" t="s">
        <v>2516</v>
      </c>
      <c r="G215" s="2011" t="s">
        <v>28</v>
      </c>
      <c r="H215" s="2011" t="s">
        <v>28</v>
      </c>
      <c r="I215" s="2011" t="s">
        <v>945</v>
      </c>
    </row>
    <row r="216" spans="1:9" ht="11.25" customHeight="1">
      <c r="A216" s="2011" t="s">
        <v>2344</v>
      </c>
      <c r="B216" s="2011" t="s">
        <v>16</v>
      </c>
      <c r="C216" s="2011" t="s">
        <v>2876</v>
      </c>
      <c r="D216" s="2011" t="s">
        <v>2877</v>
      </c>
      <c r="E216" s="2011" t="s">
        <v>2878</v>
      </c>
      <c r="F216" s="2011" t="s">
        <v>2450</v>
      </c>
      <c r="G216" s="2011" t="s">
        <v>28</v>
      </c>
      <c r="H216" s="2011" t="s">
        <v>28</v>
      </c>
      <c r="I216" s="2011" t="s">
        <v>945</v>
      </c>
    </row>
    <row r="217" spans="1:9" ht="11.25" customHeight="1">
      <c r="A217" s="2011" t="s">
        <v>2344</v>
      </c>
      <c r="B217" s="2011" t="s">
        <v>16</v>
      </c>
      <c r="C217" s="2011" t="s">
        <v>2879</v>
      </c>
      <c r="D217" s="2011" t="s">
        <v>2880</v>
      </c>
      <c r="E217" s="2011" t="s">
        <v>2881</v>
      </c>
      <c r="F217" s="2011" t="s">
        <v>2413</v>
      </c>
      <c r="G217" s="2011" t="s">
        <v>2882</v>
      </c>
      <c r="H217" s="2011" t="s">
        <v>28</v>
      </c>
      <c r="I217" s="2011" t="s">
        <v>945</v>
      </c>
    </row>
    <row r="218" spans="1:9" ht="11.25" customHeight="1">
      <c r="A218" s="2011" t="s">
        <v>2344</v>
      </c>
      <c r="B218" s="2011" t="s">
        <v>16</v>
      </c>
      <c r="C218" s="2011" t="s">
        <v>2883</v>
      </c>
      <c r="D218" s="2011" t="s">
        <v>2884</v>
      </c>
      <c r="E218" s="2011" t="s">
        <v>2885</v>
      </c>
      <c r="F218" s="2011" t="s">
        <v>2471</v>
      </c>
      <c r="G218" s="2011" t="s">
        <v>2886</v>
      </c>
      <c r="H218" s="2011" t="s">
        <v>28</v>
      </c>
      <c r="I218" s="2011" t="s">
        <v>945</v>
      </c>
    </row>
    <row r="219" spans="1:9" ht="11.25" customHeight="1">
      <c r="A219" s="2011" t="s">
        <v>2344</v>
      </c>
      <c r="B219" s="2011" t="s">
        <v>16</v>
      </c>
      <c r="C219" s="2011" t="s">
        <v>2517</v>
      </c>
      <c r="D219" s="2011" t="s">
        <v>2518</v>
      </c>
      <c r="E219" s="2011" t="s">
        <v>2519</v>
      </c>
      <c r="F219" s="2011" t="s">
        <v>2384</v>
      </c>
      <c r="G219" s="2011" t="s">
        <v>28</v>
      </c>
      <c r="H219" s="2011" t="s">
        <v>28</v>
      </c>
      <c r="I219" s="2011" t="s">
        <v>945</v>
      </c>
    </row>
    <row r="220" spans="1:9" ht="11.25" customHeight="1">
      <c r="A220" s="2011" t="s">
        <v>2344</v>
      </c>
      <c r="B220" s="2011" t="s">
        <v>16</v>
      </c>
      <c r="C220" s="2011" t="s">
        <v>2887</v>
      </c>
      <c r="D220" s="2011" t="s">
        <v>2888</v>
      </c>
      <c r="E220" s="2011" t="s">
        <v>2889</v>
      </c>
      <c r="F220" s="2011" t="s">
        <v>2853</v>
      </c>
      <c r="G220" s="2011" t="s">
        <v>28</v>
      </c>
      <c r="H220" s="2011" t="s">
        <v>28</v>
      </c>
      <c r="I220" s="2011" t="s">
        <v>945</v>
      </c>
    </row>
    <row r="221" spans="1:9" ht="11.25" customHeight="1">
      <c r="A221" s="2011" t="s">
        <v>2344</v>
      </c>
      <c r="B221" s="2011" t="s">
        <v>16</v>
      </c>
      <c r="C221" s="2011" t="s">
        <v>2520</v>
      </c>
      <c r="D221" s="2011" t="s">
        <v>2521</v>
      </c>
      <c r="E221" s="2011" t="s">
        <v>2522</v>
      </c>
      <c r="F221" s="2011" t="s">
        <v>2505</v>
      </c>
      <c r="G221" s="2011" t="s">
        <v>28</v>
      </c>
      <c r="H221" s="2011" t="s">
        <v>28</v>
      </c>
      <c r="I221" s="2011" t="s">
        <v>945</v>
      </c>
    </row>
    <row r="222" spans="1:9" ht="11.25" customHeight="1">
      <c r="A222" s="2011" t="s">
        <v>2344</v>
      </c>
      <c r="B222" s="2011" t="s">
        <v>16</v>
      </c>
      <c r="C222" s="2011" t="s">
        <v>2890</v>
      </c>
      <c r="D222" s="2011" t="s">
        <v>2891</v>
      </c>
      <c r="E222" s="2011" t="s">
        <v>2892</v>
      </c>
      <c r="F222" s="2011" t="s">
        <v>2413</v>
      </c>
      <c r="G222" s="2011" t="s">
        <v>28</v>
      </c>
      <c r="H222" s="2011" t="s">
        <v>28</v>
      </c>
      <c r="I222" s="2011" t="s">
        <v>945</v>
      </c>
    </row>
    <row r="223" spans="1:9" ht="11.25" customHeight="1">
      <c r="A223" s="2011" t="s">
        <v>2344</v>
      </c>
      <c r="B223" s="2011" t="s">
        <v>16</v>
      </c>
      <c r="C223" s="2011" t="s">
        <v>2893</v>
      </c>
      <c r="D223" s="2011" t="s">
        <v>2894</v>
      </c>
      <c r="E223" s="2011" t="s">
        <v>2895</v>
      </c>
      <c r="F223" s="2011" t="s">
        <v>2769</v>
      </c>
      <c r="G223" s="2011" t="s">
        <v>28</v>
      </c>
      <c r="H223" s="2011" t="s">
        <v>28</v>
      </c>
      <c r="I223" s="2011" t="s">
        <v>945</v>
      </c>
    </row>
    <row r="224" spans="1:9" ht="11.25" customHeight="1">
      <c r="A224" s="2011" t="s">
        <v>2344</v>
      </c>
      <c r="B224" s="2011" t="s">
        <v>16</v>
      </c>
      <c r="C224" s="2011" t="s">
        <v>2896</v>
      </c>
      <c r="D224" s="2011" t="s">
        <v>2897</v>
      </c>
      <c r="E224" s="2011" t="s">
        <v>2898</v>
      </c>
      <c r="F224" s="2011" t="s">
        <v>2351</v>
      </c>
      <c r="G224" s="2011" t="s">
        <v>28</v>
      </c>
      <c r="H224" s="2011" t="s">
        <v>28</v>
      </c>
      <c r="I224" s="2011" t="s">
        <v>945</v>
      </c>
    </row>
    <row r="225" spans="1:9" ht="11.25" customHeight="1">
      <c r="A225" s="2011" t="s">
        <v>2344</v>
      </c>
      <c r="B225" s="2011" t="s">
        <v>16</v>
      </c>
      <c r="C225" s="2011" t="s">
        <v>2523</v>
      </c>
      <c r="D225" s="2011" t="s">
        <v>2524</v>
      </c>
      <c r="E225" s="2011" t="s">
        <v>2525</v>
      </c>
      <c r="F225" s="2011" t="s">
        <v>2526</v>
      </c>
      <c r="G225" s="2011" t="s">
        <v>28</v>
      </c>
      <c r="H225" s="2011" t="s">
        <v>28</v>
      </c>
      <c r="I225" s="2011" t="s">
        <v>945</v>
      </c>
    </row>
    <row r="226" spans="1:9" ht="11.25" customHeight="1">
      <c r="A226" s="2011" t="s">
        <v>2344</v>
      </c>
      <c r="B226" s="2011" t="s">
        <v>16</v>
      </c>
      <c r="C226" s="2011" t="s">
        <v>2899</v>
      </c>
      <c r="D226" s="2011" t="s">
        <v>2900</v>
      </c>
      <c r="E226" s="2011" t="s">
        <v>2901</v>
      </c>
      <c r="F226" s="2011" t="s">
        <v>2769</v>
      </c>
      <c r="G226" s="2011" t="s">
        <v>28</v>
      </c>
      <c r="H226" s="2011" t="s">
        <v>28</v>
      </c>
      <c r="I226" s="2011" t="s">
        <v>945</v>
      </c>
    </row>
    <row r="227" spans="1:9" ht="11.25" customHeight="1">
      <c r="A227" s="2011" t="s">
        <v>2344</v>
      </c>
      <c r="B227" s="2011" t="s">
        <v>16</v>
      </c>
      <c r="C227" s="2011" t="s">
        <v>2527</v>
      </c>
      <c r="D227" s="2011" t="s">
        <v>2528</v>
      </c>
      <c r="E227" s="2011" t="s">
        <v>2529</v>
      </c>
      <c r="F227" s="2011" t="s">
        <v>2489</v>
      </c>
      <c r="G227" s="2011" t="s">
        <v>28</v>
      </c>
      <c r="H227" s="2011" t="s">
        <v>28</v>
      </c>
      <c r="I227" s="2011" t="s">
        <v>945</v>
      </c>
    </row>
    <row r="228" spans="1:9" ht="11.25" customHeight="1">
      <c r="A228" s="2011" t="s">
        <v>2344</v>
      </c>
      <c r="B228" s="2011" t="s">
        <v>16</v>
      </c>
      <c r="C228" s="2011" t="s">
        <v>2537</v>
      </c>
      <c r="D228" s="2011" t="s">
        <v>2538</v>
      </c>
      <c r="E228" s="2011" t="s">
        <v>2539</v>
      </c>
      <c r="F228" s="2011" t="s">
        <v>2540</v>
      </c>
      <c r="G228" s="2011" t="s">
        <v>28</v>
      </c>
      <c r="H228" s="2011" t="s">
        <v>28</v>
      </c>
      <c r="I228" s="2011" t="s">
        <v>945</v>
      </c>
    </row>
    <row r="229" spans="1:9" ht="11.25" customHeight="1">
      <c r="A229" s="2011" t="s">
        <v>2344</v>
      </c>
      <c r="B229" s="2011" t="s">
        <v>16</v>
      </c>
      <c r="C229" s="2011" t="s">
        <v>2902</v>
      </c>
      <c r="D229" s="2011" t="s">
        <v>2903</v>
      </c>
      <c r="E229" s="2011" t="s">
        <v>2362</v>
      </c>
      <c r="F229" s="2011" t="s">
        <v>2904</v>
      </c>
      <c r="G229" s="2011" t="s">
        <v>28</v>
      </c>
      <c r="H229" s="2011" t="s">
        <v>28</v>
      </c>
      <c r="I229" s="2011" t="s">
        <v>945</v>
      </c>
    </row>
    <row r="230" spans="1:9" ht="11.25" customHeight="1">
      <c r="A230" s="2011" t="s">
        <v>2344</v>
      </c>
      <c r="B230" s="2011" t="s">
        <v>16</v>
      </c>
      <c r="C230" s="2011" t="s">
        <v>2905</v>
      </c>
      <c r="D230" s="2011" t="s">
        <v>2906</v>
      </c>
      <c r="E230" s="2011" t="s">
        <v>2907</v>
      </c>
      <c r="F230" s="2011" t="s">
        <v>2351</v>
      </c>
      <c r="G230" s="2011" t="s">
        <v>28</v>
      </c>
      <c r="H230" s="2011" t="s">
        <v>28</v>
      </c>
      <c r="I230" s="2011" t="s">
        <v>945</v>
      </c>
    </row>
    <row r="231" spans="1:9" ht="11.25" customHeight="1">
      <c r="A231" s="2011" t="s">
        <v>2344</v>
      </c>
      <c r="B231" s="2011" t="s">
        <v>16</v>
      </c>
      <c r="C231" s="2011" t="s">
        <v>2560</v>
      </c>
      <c r="D231" s="2011" t="s">
        <v>2561</v>
      </c>
      <c r="E231" s="2011" t="s">
        <v>2562</v>
      </c>
      <c r="F231" s="2011" t="s">
        <v>2509</v>
      </c>
      <c r="G231" s="2011" t="s">
        <v>28</v>
      </c>
      <c r="H231" s="2011" t="s">
        <v>28</v>
      </c>
      <c r="I231" s="2011" t="s">
        <v>945</v>
      </c>
    </row>
    <row r="232" spans="1:9" ht="11.25" customHeight="1">
      <c r="A232" s="2011" t="s">
        <v>2344</v>
      </c>
      <c r="B232" s="2011" t="s">
        <v>16</v>
      </c>
      <c r="C232" s="2011" t="s">
        <v>2908</v>
      </c>
      <c r="D232" s="2011" t="s">
        <v>2909</v>
      </c>
      <c r="E232" s="2011" t="s">
        <v>2910</v>
      </c>
      <c r="F232" s="2011" t="s">
        <v>2384</v>
      </c>
      <c r="G232" s="2011" t="s">
        <v>2911</v>
      </c>
      <c r="H232" s="2011" t="s">
        <v>28</v>
      </c>
      <c r="I232" s="2011" t="s">
        <v>945</v>
      </c>
    </row>
    <row r="233" spans="1:9" ht="11.25" customHeight="1">
      <c r="A233" s="2011" t="s">
        <v>2344</v>
      </c>
      <c r="B233" s="2011" t="s">
        <v>16</v>
      </c>
      <c r="C233" s="2011" t="s">
        <v>2912</v>
      </c>
      <c r="D233" s="2011" t="s">
        <v>2913</v>
      </c>
      <c r="E233" s="2011" t="s">
        <v>2914</v>
      </c>
      <c r="F233" s="2011" t="s">
        <v>2396</v>
      </c>
      <c r="G233" s="2011" t="s">
        <v>2915</v>
      </c>
      <c r="H233" s="2011" t="s">
        <v>28</v>
      </c>
      <c r="I233" s="2011" t="s">
        <v>945</v>
      </c>
    </row>
    <row r="234" spans="1:9" ht="11.25" customHeight="1">
      <c r="A234" s="2011" t="s">
        <v>2344</v>
      </c>
      <c r="B234" s="2011" t="s">
        <v>16</v>
      </c>
      <c r="C234" s="2011" t="s">
        <v>2916</v>
      </c>
      <c r="D234" s="2011" t="s">
        <v>2917</v>
      </c>
      <c r="E234" s="2011" t="s">
        <v>2918</v>
      </c>
      <c r="F234" s="2011" t="s">
        <v>2666</v>
      </c>
      <c r="G234" s="2011" t="s">
        <v>2919</v>
      </c>
      <c r="H234" s="2011" t="s">
        <v>28</v>
      </c>
      <c r="I234" s="2011" t="s">
        <v>945</v>
      </c>
    </row>
    <row r="235" spans="1:9" ht="11.25" customHeight="1">
      <c r="A235" s="2011" t="s">
        <v>2344</v>
      </c>
      <c r="B235" s="2011" t="s">
        <v>16</v>
      </c>
      <c r="C235" s="2011" t="s">
        <v>2920</v>
      </c>
      <c r="D235" s="2011" t="s">
        <v>2921</v>
      </c>
      <c r="E235" s="2011" t="s">
        <v>2922</v>
      </c>
      <c r="F235" s="2011" t="s">
        <v>2923</v>
      </c>
      <c r="G235" s="2011" t="s">
        <v>28</v>
      </c>
      <c r="H235" s="2011" t="s">
        <v>28</v>
      </c>
      <c r="I235" s="2011" t="s">
        <v>945</v>
      </c>
    </row>
    <row r="236" spans="1:9" ht="11.25" customHeight="1">
      <c r="A236" s="2011" t="s">
        <v>2344</v>
      </c>
      <c r="B236" s="2011" t="s">
        <v>16</v>
      </c>
      <c r="C236" s="2011" t="s">
        <v>2924</v>
      </c>
      <c r="D236" s="2011" t="s">
        <v>2925</v>
      </c>
      <c r="E236" s="2011" t="s">
        <v>2926</v>
      </c>
      <c r="F236" s="2011" t="s">
        <v>2355</v>
      </c>
      <c r="G236" s="2011" t="s">
        <v>2927</v>
      </c>
      <c r="H236" s="2011" t="s">
        <v>28</v>
      </c>
      <c r="I236" s="2011" t="s">
        <v>945</v>
      </c>
    </row>
    <row r="237" spans="1:9" ht="11.25" customHeight="1">
      <c r="A237" s="2011" t="s">
        <v>2344</v>
      </c>
      <c r="B237" s="2011" t="s">
        <v>16</v>
      </c>
      <c r="C237" s="2011" t="s">
        <v>2928</v>
      </c>
      <c r="D237" s="2011" t="s">
        <v>2929</v>
      </c>
      <c r="E237" s="2011" t="s">
        <v>2930</v>
      </c>
      <c r="F237" s="2011" t="s">
        <v>2376</v>
      </c>
      <c r="G237" s="2011" t="s">
        <v>28</v>
      </c>
      <c r="H237" s="2011" t="s">
        <v>28</v>
      </c>
      <c r="I237" s="2011" t="s">
        <v>945</v>
      </c>
    </row>
    <row r="238" spans="1:9" ht="11.25" customHeight="1">
      <c r="A238" s="2011" t="s">
        <v>2344</v>
      </c>
      <c r="B238" s="2011" t="s">
        <v>16</v>
      </c>
      <c r="C238" s="2011" t="s">
        <v>2931</v>
      </c>
      <c r="D238" s="2011" t="s">
        <v>2932</v>
      </c>
      <c r="E238" s="2011" t="s">
        <v>2933</v>
      </c>
      <c r="F238" s="2011" t="s">
        <v>2934</v>
      </c>
      <c r="G238" s="2011" t="s">
        <v>28</v>
      </c>
      <c r="H238" s="2011" t="s">
        <v>28</v>
      </c>
      <c r="I238" s="2011" t="s">
        <v>945</v>
      </c>
    </row>
    <row r="239" spans="1:9" ht="11.25" customHeight="1">
      <c r="A239" s="2011" t="s">
        <v>2344</v>
      </c>
      <c r="B239" s="2011" t="s">
        <v>16</v>
      </c>
      <c r="C239" s="2011" t="s">
        <v>2935</v>
      </c>
      <c r="D239" s="2011" t="s">
        <v>2936</v>
      </c>
      <c r="E239" s="2011" t="s">
        <v>2937</v>
      </c>
      <c r="F239" s="2011" t="s">
        <v>2743</v>
      </c>
      <c r="G239" s="2011" t="s">
        <v>28</v>
      </c>
      <c r="H239" s="2011" t="s">
        <v>28</v>
      </c>
      <c r="I239" s="2011" t="s">
        <v>945</v>
      </c>
    </row>
    <row r="240" spans="1:9" ht="11.25" customHeight="1">
      <c r="A240" s="2011" t="s">
        <v>2344</v>
      </c>
      <c r="B240" s="2011" t="s">
        <v>16</v>
      </c>
      <c r="C240" s="2011" t="s">
        <v>2938</v>
      </c>
      <c r="D240" s="2011" t="s">
        <v>2939</v>
      </c>
      <c r="E240" s="2011" t="s">
        <v>2940</v>
      </c>
      <c r="F240" s="2011" t="s">
        <v>2769</v>
      </c>
      <c r="G240" s="2011" t="s">
        <v>2941</v>
      </c>
      <c r="H240" s="2011" t="s">
        <v>28</v>
      </c>
      <c r="I240" s="2011" t="s">
        <v>945</v>
      </c>
    </row>
    <row r="241" spans="1:9" ht="11.25" customHeight="1">
      <c r="A241" s="2011" t="s">
        <v>2344</v>
      </c>
      <c r="B241" s="2011" t="s">
        <v>16</v>
      </c>
      <c r="C241" s="2011" t="s">
        <v>2575</v>
      </c>
      <c r="D241" s="2011" t="s">
        <v>2576</v>
      </c>
      <c r="E241" s="2011" t="s">
        <v>2577</v>
      </c>
      <c r="F241" s="2011" t="s">
        <v>2578</v>
      </c>
      <c r="G241" s="2011" t="s">
        <v>2579</v>
      </c>
      <c r="H241" s="2011" t="s">
        <v>28</v>
      </c>
      <c r="I241" s="2011" t="s">
        <v>945</v>
      </c>
    </row>
    <row r="242" spans="1:9" ht="11.25" customHeight="1">
      <c r="A242" s="2011" t="s">
        <v>2344</v>
      </c>
      <c r="B242" s="2011" t="s">
        <v>16</v>
      </c>
      <c r="C242" s="2011" t="s">
        <v>2942</v>
      </c>
      <c r="D242" s="2011" t="s">
        <v>2943</v>
      </c>
      <c r="E242" s="2011" t="s">
        <v>2944</v>
      </c>
      <c r="F242" s="2011" t="s">
        <v>2384</v>
      </c>
      <c r="G242" s="2011" t="s">
        <v>28</v>
      </c>
      <c r="H242" s="2011" t="s">
        <v>28</v>
      </c>
      <c r="I242" s="2011" t="s">
        <v>945</v>
      </c>
    </row>
    <row r="243" spans="1:9" ht="11.25" customHeight="1">
      <c r="A243" s="2011" t="s">
        <v>2344</v>
      </c>
      <c r="B243" s="2011" t="s">
        <v>16</v>
      </c>
      <c r="C243" s="2011" t="s">
        <v>2945</v>
      </c>
      <c r="D243" s="2011" t="s">
        <v>2946</v>
      </c>
      <c r="E243" s="2011" t="s">
        <v>2947</v>
      </c>
      <c r="F243" s="2011" t="s">
        <v>2578</v>
      </c>
      <c r="G243" s="2011" t="s">
        <v>28</v>
      </c>
      <c r="H243" s="2011" t="s">
        <v>28</v>
      </c>
      <c r="I243" s="2011" t="s">
        <v>945</v>
      </c>
    </row>
    <row r="244" spans="1:9" ht="11.25" customHeight="1">
      <c r="A244" s="2011" t="s">
        <v>2344</v>
      </c>
      <c r="B244" s="2011" t="s">
        <v>16</v>
      </c>
      <c r="C244" s="2011" t="s">
        <v>2948</v>
      </c>
      <c r="D244" s="2011" t="s">
        <v>2949</v>
      </c>
      <c r="E244" s="2011" t="s">
        <v>2950</v>
      </c>
      <c r="F244" s="2011" t="s">
        <v>2347</v>
      </c>
      <c r="G244" s="2011" t="s">
        <v>28</v>
      </c>
      <c r="H244" s="2011" t="s">
        <v>28</v>
      </c>
      <c r="I244" s="2011" t="s">
        <v>945</v>
      </c>
    </row>
    <row r="245" spans="1:9" ht="11.25" customHeight="1">
      <c r="A245" s="2011" t="s">
        <v>2344</v>
      </c>
      <c r="B245" s="2011" t="s">
        <v>16</v>
      </c>
      <c r="C245" s="2011" t="s">
        <v>2588</v>
      </c>
      <c r="D245" s="2011" t="s">
        <v>2589</v>
      </c>
      <c r="E245" s="2011" t="s">
        <v>2590</v>
      </c>
      <c r="F245" s="2011" t="s">
        <v>2591</v>
      </c>
      <c r="G245" s="2011" t="s">
        <v>28</v>
      </c>
      <c r="H245" s="2011" t="s">
        <v>28</v>
      </c>
      <c r="I245" s="2011" t="s">
        <v>945</v>
      </c>
    </row>
    <row r="246" spans="1:9" ht="11.25" customHeight="1">
      <c r="A246" s="2011" t="s">
        <v>2344</v>
      </c>
      <c r="B246" s="2011" t="s">
        <v>16</v>
      </c>
      <c r="C246" s="2011" t="s">
        <v>2951</v>
      </c>
      <c r="D246" s="2011" t="s">
        <v>2952</v>
      </c>
      <c r="E246" s="2011" t="s">
        <v>2953</v>
      </c>
      <c r="F246" s="2011" t="s">
        <v>2351</v>
      </c>
      <c r="G246" s="2011" t="s">
        <v>28</v>
      </c>
      <c r="H246" s="2011" t="s">
        <v>28</v>
      </c>
      <c r="I246" s="2011" t="s">
        <v>945</v>
      </c>
    </row>
    <row r="247" spans="1:9" ht="11.25" customHeight="1">
      <c r="A247" s="2011" t="s">
        <v>2344</v>
      </c>
      <c r="B247" s="2011" t="s">
        <v>16</v>
      </c>
      <c r="C247" s="2011" t="s">
        <v>2592</v>
      </c>
      <c r="D247" s="2011" t="s">
        <v>2593</v>
      </c>
      <c r="E247" s="2011" t="s">
        <v>2594</v>
      </c>
      <c r="F247" s="2011" t="s">
        <v>2578</v>
      </c>
      <c r="G247" s="2011" t="s">
        <v>28</v>
      </c>
      <c r="H247" s="2011" t="s">
        <v>28</v>
      </c>
      <c r="I247" s="2011" t="s">
        <v>945</v>
      </c>
    </row>
    <row r="248" spans="1:9" ht="11.25" customHeight="1">
      <c r="A248" s="2011" t="s">
        <v>2344</v>
      </c>
      <c r="B248" s="2011" t="s">
        <v>16</v>
      </c>
      <c r="C248" s="2011" t="s">
        <v>2598</v>
      </c>
      <c r="D248" s="2011" t="s">
        <v>2599</v>
      </c>
      <c r="E248" s="2011" t="s">
        <v>2600</v>
      </c>
      <c r="F248" s="2011" t="s">
        <v>2578</v>
      </c>
      <c r="G248" s="2011" t="s">
        <v>28</v>
      </c>
      <c r="H248" s="2011" t="s">
        <v>28</v>
      </c>
      <c r="I248" s="2011" t="s">
        <v>945</v>
      </c>
    </row>
    <row r="249" spans="1:9" ht="11.25" customHeight="1">
      <c r="A249" s="2011" t="s">
        <v>2344</v>
      </c>
      <c r="B249" s="2011" t="s">
        <v>16</v>
      </c>
      <c r="C249" s="2011" t="s">
        <v>2954</v>
      </c>
      <c r="D249" s="2011" t="s">
        <v>2955</v>
      </c>
      <c r="E249" s="2011" t="s">
        <v>2956</v>
      </c>
      <c r="F249" s="2011" t="s">
        <v>2578</v>
      </c>
      <c r="G249" s="2011" t="s">
        <v>28</v>
      </c>
      <c r="H249" s="2011" t="s">
        <v>28</v>
      </c>
      <c r="I249" s="2011" t="s">
        <v>945</v>
      </c>
    </row>
    <row r="250" spans="1:9" ht="11.25" customHeight="1">
      <c r="A250" s="2011" t="s">
        <v>2344</v>
      </c>
      <c r="B250" s="2011" t="s">
        <v>16</v>
      </c>
      <c r="C250" s="2011" t="s">
        <v>2957</v>
      </c>
      <c r="D250" s="2011" t="s">
        <v>2958</v>
      </c>
      <c r="E250" s="2011" t="s">
        <v>2959</v>
      </c>
      <c r="F250" s="2011" t="s">
        <v>2526</v>
      </c>
      <c r="G250" s="2011" t="s">
        <v>2960</v>
      </c>
      <c r="H250" s="2011" t="s">
        <v>28</v>
      </c>
      <c r="I250" s="2011" t="s">
        <v>945</v>
      </c>
    </row>
    <row r="251" spans="1:9" ht="11.25" customHeight="1">
      <c r="A251" s="2011" t="s">
        <v>2344</v>
      </c>
      <c r="B251" s="2011" t="s">
        <v>16</v>
      </c>
      <c r="C251" s="2011" t="s">
        <v>2961</v>
      </c>
      <c r="D251" s="2011" t="s">
        <v>2962</v>
      </c>
      <c r="E251" s="2011" t="s">
        <v>2963</v>
      </c>
      <c r="F251" s="2011" t="s">
        <v>2351</v>
      </c>
      <c r="G251" s="2011" t="s">
        <v>2964</v>
      </c>
      <c r="H251" s="2011" t="s">
        <v>28</v>
      </c>
      <c r="I251" s="2011" t="s">
        <v>945</v>
      </c>
    </row>
    <row r="252" spans="1:9" ht="11.25" customHeight="1">
      <c r="A252" s="2011" t="s">
        <v>2344</v>
      </c>
      <c r="B252" s="2011" t="s">
        <v>16</v>
      </c>
      <c r="C252" s="2011" t="s">
        <v>2965</v>
      </c>
      <c r="D252" s="2011" t="s">
        <v>2966</v>
      </c>
      <c r="E252" s="2011" t="s">
        <v>2967</v>
      </c>
      <c r="F252" s="2011" t="s">
        <v>2479</v>
      </c>
      <c r="G252" s="2011" t="s">
        <v>28</v>
      </c>
      <c r="H252" s="2011" t="s">
        <v>28</v>
      </c>
      <c r="I252" s="2011" t="s">
        <v>945</v>
      </c>
    </row>
    <row r="253" spans="1:9" ht="11.25" customHeight="1">
      <c r="A253" s="2011" t="s">
        <v>2344</v>
      </c>
      <c r="B253" s="2011" t="s">
        <v>16</v>
      </c>
      <c r="C253" s="2011" t="s">
        <v>2968</v>
      </c>
      <c r="D253" s="2011" t="s">
        <v>2969</v>
      </c>
      <c r="E253" s="2011" t="s">
        <v>2970</v>
      </c>
      <c r="F253" s="2011" t="s">
        <v>2769</v>
      </c>
      <c r="G253" s="2011" t="s">
        <v>2971</v>
      </c>
      <c r="H253" s="2011" t="s">
        <v>28</v>
      </c>
      <c r="I253" s="2011" t="s">
        <v>945</v>
      </c>
    </row>
    <row r="254" spans="1:9" ht="11.25" customHeight="1">
      <c r="A254" s="2011" t="s">
        <v>2344</v>
      </c>
      <c r="B254" s="2011" t="s">
        <v>16</v>
      </c>
      <c r="C254" s="2011" t="s">
        <v>2972</v>
      </c>
      <c r="D254" s="2011" t="s">
        <v>2973</v>
      </c>
      <c r="E254" s="2011" t="s">
        <v>2974</v>
      </c>
      <c r="F254" s="2011" t="s">
        <v>2405</v>
      </c>
      <c r="G254" s="2011" t="s">
        <v>2975</v>
      </c>
      <c r="H254" s="2011" t="s">
        <v>28</v>
      </c>
      <c r="I254" s="2011" t="s">
        <v>945</v>
      </c>
    </row>
    <row r="255" spans="1:9" ht="11.25" customHeight="1">
      <c r="A255" s="2011" t="s">
        <v>2344</v>
      </c>
      <c r="B255" s="2011" t="s">
        <v>16</v>
      </c>
      <c r="C255" s="2011" t="s">
        <v>2976</v>
      </c>
      <c r="D255" s="2011" t="s">
        <v>2977</v>
      </c>
      <c r="E255" s="2011" t="s">
        <v>2978</v>
      </c>
      <c r="F255" s="2011" t="s">
        <v>2666</v>
      </c>
      <c r="G255" s="2011" t="s">
        <v>2979</v>
      </c>
      <c r="H255" s="2011" t="s">
        <v>28</v>
      </c>
      <c r="I255" s="2011" t="s">
        <v>945</v>
      </c>
    </row>
    <row r="256" spans="1:9" ht="11.25" customHeight="1">
      <c r="A256" s="2011" t="s">
        <v>2344</v>
      </c>
      <c r="B256" s="2011" t="s">
        <v>16</v>
      </c>
      <c r="C256" s="2011" t="s">
        <v>2610</v>
      </c>
      <c r="D256" s="2011" t="s">
        <v>2611</v>
      </c>
      <c r="E256" s="2011" t="s">
        <v>2612</v>
      </c>
      <c r="F256" s="2011" t="s">
        <v>2578</v>
      </c>
      <c r="G256" s="2011" t="s">
        <v>28</v>
      </c>
      <c r="H256" s="2011" t="s">
        <v>28</v>
      </c>
      <c r="I256" s="2011" t="s">
        <v>945</v>
      </c>
    </row>
    <row r="257" spans="1:9" ht="11.25" customHeight="1">
      <c r="A257" s="2011" t="s">
        <v>2344</v>
      </c>
      <c r="B257" s="2011" t="s">
        <v>16</v>
      </c>
      <c r="C257" s="2011" t="s">
        <v>2980</v>
      </c>
      <c r="D257" s="2011" t="s">
        <v>2981</v>
      </c>
      <c r="E257" s="2011" t="s">
        <v>2982</v>
      </c>
      <c r="F257" s="2011" t="s">
        <v>2526</v>
      </c>
      <c r="G257" s="2011" t="s">
        <v>28</v>
      </c>
      <c r="H257" s="2011" t="s">
        <v>28</v>
      </c>
      <c r="I257" s="2011" t="s">
        <v>945</v>
      </c>
    </row>
    <row r="258" spans="1:9" ht="11.25" customHeight="1">
      <c r="A258" s="2011" t="s">
        <v>2344</v>
      </c>
      <c r="B258" s="2011" t="s">
        <v>16</v>
      </c>
      <c r="C258" s="2011" t="s">
        <v>2623</v>
      </c>
      <c r="D258" s="2011" t="s">
        <v>2624</v>
      </c>
      <c r="E258" s="2011" t="s">
        <v>2625</v>
      </c>
      <c r="F258" s="2011" t="s">
        <v>2384</v>
      </c>
      <c r="G258" s="2011" t="s">
        <v>28</v>
      </c>
      <c r="H258" s="2011" t="s">
        <v>28</v>
      </c>
      <c r="I258" s="2011" t="s">
        <v>945</v>
      </c>
    </row>
    <row r="259" spans="1:9" ht="11.25" customHeight="1">
      <c r="A259" s="2011" t="s">
        <v>2344</v>
      </c>
      <c r="B259" s="2011" t="s">
        <v>16</v>
      </c>
      <c r="C259" s="2011" t="s">
        <v>2626</v>
      </c>
      <c r="D259" s="2011" t="s">
        <v>2627</v>
      </c>
      <c r="E259" s="2011" t="s">
        <v>2628</v>
      </c>
      <c r="F259" s="2011" t="s">
        <v>2351</v>
      </c>
      <c r="G259" s="2011" t="s">
        <v>28</v>
      </c>
      <c r="H259" s="2011" t="s">
        <v>28</v>
      </c>
      <c r="I259" s="2011" t="s">
        <v>945</v>
      </c>
    </row>
    <row r="260" spans="1:9" ht="11.25" customHeight="1">
      <c r="A260" s="2011" t="s">
        <v>2344</v>
      </c>
      <c r="B260" s="2011" t="s">
        <v>16</v>
      </c>
      <c r="C260" s="2011" t="s">
        <v>2641</v>
      </c>
      <c r="D260" s="2011" t="s">
        <v>2642</v>
      </c>
      <c r="E260" s="2011" t="s">
        <v>2643</v>
      </c>
      <c r="F260" s="2011" t="s">
        <v>2547</v>
      </c>
      <c r="G260" s="2011" t="s">
        <v>2644</v>
      </c>
      <c r="H260" s="2011" t="s">
        <v>28</v>
      </c>
      <c r="I260" s="2011" t="s">
        <v>945</v>
      </c>
    </row>
    <row r="261" spans="1:9" ht="11.25" customHeight="1">
      <c r="A261" s="2011" t="s">
        <v>2344</v>
      </c>
      <c r="B261" s="2011" t="s">
        <v>16</v>
      </c>
      <c r="C261" s="2011" t="s">
        <v>2983</v>
      </c>
      <c r="D261" s="2011" t="s">
        <v>2984</v>
      </c>
      <c r="E261" s="2011" t="s">
        <v>2985</v>
      </c>
      <c r="F261" s="2011" t="s">
        <v>2533</v>
      </c>
      <c r="G261" s="2011" t="s">
        <v>28</v>
      </c>
      <c r="H261" s="2011" t="s">
        <v>28</v>
      </c>
      <c r="I261" s="2011" t="s">
        <v>945</v>
      </c>
    </row>
    <row r="262" spans="1:9" ht="11.25" customHeight="1">
      <c r="A262" s="2011" t="s">
        <v>2344</v>
      </c>
      <c r="B262" s="2011" t="s">
        <v>16</v>
      </c>
      <c r="C262" s="2011" t="s">
        <v>2986</v>
      </c>
      <c r="D262" s="2011" t="s">
        <v>2987</v>
      </c>
      <c r="E262" s="2011" t="s">
        <v>2988</v>
      </c>
      <c r="F262" s="2011" t="s">
        <v>2479</v>
      </c>
      <c r="G262" s="2011" t="s">
        <v>28</v>
      </c>
      <c r="H262" s="2011" t="s">
        <v>28</v>
      </c>
      <c r="I262" s="2011" t="s">
        <v>945</v>
      </c>
    </row>
    <row r="263" spans="1:9" ht="11.25" customHeight="1">
      <c r="A263" s="2011" t="s">
        <v>2344</v>
      </c>
      <c r="B263" s="2011" t="s">
        <v>16</v>
      </c>
      <c r="C263" s="2011" t="s">
        <v>2657</v>
      </c>
      <c r="D263" s="2011" t="s">
        <v>2658</v>
      </c>
      <c r="E263" s="2011" t="s">
        <v>2659</v>
      </c>
      <c r="F263" s="2011" t="s">
        <v>2351</v>
      </c>
      <c r="G263" s="2011" t="s">
        <v>28</v>
      </c>
      <c r="H263" s="2011" t="s">
        <v>28</v>
      </c>
      <c r="I263" s="2011" t="s">
        <v>945</v>
      </c>
    </row>
    <row r="264" spans="1:9" ht="11.25" customHeight="1">
      <c r="A264" s="2011" t="s">
        <v>2344</v>
      </c>
      <c r="B264" s="2011" t="s">
        <v>16</v>
      </c>
      <c r="C264" s="2011" t="s">
        <v>2989</v>
      </c>
      <c r="D264" s="2011" t="s">
        <v>2990</v>
      </c>
      <c r="E264" s="2011" t="s">
        <v>2991</v>
      </c>
      <c r="F264" s="2011" t="s">
        <v>2992</v>
      </c>
      <c r="G264" s="2011" t="s">
        <v>28</v>
      </c>
      <c r="H264" s="2011" t="s">
        <v>28</v>
      </c>
      <c r="I264" s="2011" t="s">
        <v>945</v>
      </c>
    </row>
    <row r="265" spans="1:9" ht="11.25" customHeight="1">
      <c r="A265" s="2011" t="s">
        <v>2344</v>
      </c>
      <c r="B265" s="2011" t="s">
        <v>16</v>
      </c>
      <c r="C265" s="2011" t="s">
        <v>2993</v>
      </c>
      <c r="D265" s="2011" t="s">
        <v>2994</v>
      </c>
      <c r="E265" s="2011" t="s">
        <v>2995</v>
      </c>
      <c r="F265" s="2011" t="s">
        <v>2547</v>
      </c>
      <c r="G265" s="2011" t="s">
        <v>28</v>
      </c>
      <c r="H265" s="2011" t="s">
        <v>28</v>
      </c>
      <c r="I265" s="2011" t="s">
        <v>945</v>
      </c>
    </row>
    <row r="266" spans="1:9" ht="11.25" customHeight="1">
      <c r="A266" s="2011" t="s">
        <v>2344</v>
      </c>
      <c r="B266" s="2011" t="s">
        <v>16</v>
      </c>
      <c r="C266" s="2011" t="s">
        <v>2996</v>
      </c>
      <c r="D266" s="2011" t="s">
        <v>2997</v>
      </c>
      <c r="E266" s="2011" t="s">
        <v>2998</v>
      </c>
      <c r="F266" s="2011" t="s">
        <v>2376</v>
      </c>
      <c r="G266" s="2011" t="s">
        <v>28</v>
      </c>
      <c r="H266" s="2011" t="s">
        <v>28</v>
      </c>
      <c r="I266" s="2011" t="s">
        <v>945</v>
      </c>
    </row>
    <row r="267" spans="1:9" ht="11.25" customHeight="1">
      <c r="A267" s="2011" t="s">
        <v>2344</v>
      </c>
      <c r="B267" s="2011" t="s">
        <v>16</v>
      </c>
      <c r="C267" s="2011" t="s">
        <v>2660</v>
      </c>
      <c r="D267" s="2011" t="s">
        <v>2661</v>
      </c>
      <c r="E267" s="2011" t="s">
        <v>2662</v>
      </c>
      <c r="F267" s="2011" t="s">
        <v>2526</v>
      </c>
      <c r="G267" s="2011" t="s">
        <v>2406</v>
      </c>
      <c r="H267" s="2011" t="s">
        <v>28</v>
      </c>
      <c r="I267" s="2011" t="s">
        <v>945</v>
      </c>
    </row>
    <row r="268" spans="1:9" ht="11.25" customHeight="1">
      <c r="A268" s="2011" t="s">
        <v>2344</v>
      </c>
      <c r="B268" s="2011" t="s">
        <v>16</v>
      </c>
      <c r="C268" s="2011" t="s">
        <v>2999</v>
      </c>
      <c r="D268" s="2011" t="s">
        <v>3000</v>
      </c>
      <c r="E268" s="2011" t="s">
        <v>3001</v>
      </c>
      <c r="F268" s="2011" t="s">
        <v>2526</v>
      </c>
      <c r="G268" s="2011" t="s">
        <v>28</v>
      </c>
      <c r="H268" s="2011" t="s">
        <v>28</v>
      </c>
      <c r="I268" s="2011" t="s">
        <v>945</v>
      </c>
    </row>
    <row r="269" spans="1:9" ht="11.25" customHeight="1">
      <c r="A269" s="2011" t="s">
        <v>2344</v>
      </c>
      <c r="B269" s="2011" t="s">
        <v>16</v>
      </c>
      <c r="C269" s="2011" t="s">
        <v>2670</v>
      </c>
      <c r="D269" s="2011" t="s">
        <v>2671</v>
      </c>
      <c r="E269" s="2011" t="s">
        <v>2672</v>
      </c>
      <c r="F269" s="2011" t="s">
        <v>2673</v>
      </c>
      <c r="G269" s="2011" t="s">
        <v>28</v>
      </c>
      <c r="H269" s="2011" t="s">
        <v>28</v>
      </c>
      <c r="I269" s="2011" t="s">
        <v>945</v>
      </c>
    </row>
    <row r="270" spans="1:9" ht="11.25" customHeight="1">
      <c r="A270" s="2011" t="s">
        <v>2344</v>
      </c>
      <c r="B270" s="2011" t="s">
        <v>16</v>
      </c>
      <c r="C270" s="2011" t="s">
        <v>3002</v>
      </c>
      <c r="D270" s="2011" t="s">
        <v>3003</v>
      </c>
      <c r="E270" s="2011" t="s">
        <v>3004</v>
      </c>
      <c r="F270" s="2011" t="s">
        <v>2405</v>
      </c>
      <c r="G270" s="2011" t="s">
        <v>28</v>
      </c>
      <c r="H270" s="2011" t="s">
        <v>28</v>
      </c>
      <c r="I270" s="2011" t="s">
        <v>945</v>
      </c>
    </row>
    <row r="271" spans="1:9" ht="11.25" customHeight="1">
      <c r="A271" s="2011" t="s">
        <v>2344</v>
      </c>
      <c r="B271" s="2011" t="s">
        <v>16</v>
      </c>
      <c r="C271" s="2011" t="s">
        <v>2684</v>
      </c>
      <c r="D271" s="2011" t="s">
        <v>2685</v>
      </c>
      <c r="E271" s="2011" t="s">
        <v>2686</v>
      </c>
      <c r="F271" s="2011" t="s">
        <v>2687</v>
      </c>
      <c r="G271" s="2011" t="s">
        <v>28</v>
      </c>
      <c r="H271" s="2011" t="s">
        <v>28</v>
      </c>
      <c r="I271" s="2011" t="s">
        <v>945</v>
      </c>
    </row>
    <row r="272" spans="1:9" ht="11.25" customHeight="1">
      <c r="A272" s="2011" t="s">
        <v>2344</v>
      </c>
      <c r="B272" s="2011" t="s">
        <v>16</v>
      </c>
      <c r="C272" s="2011" t="s">
        <v>3005</v>
      </c>
      <c r="D272" s="2011" t="s">
        <v>3006</v>
      </c>
      <c r="E272" s="2011" t="s">
        <v>3007</v>
      </c>
      <c r="F272" s="2011" t="s">
        <v>2376</v>
      </c>
      <c r="G272" s="2011" t="s">
        <v>28</v>
      </c>
      <c r="H272" s="2011" t="s">
        <v>28</v>
      </c>
      <c r="I272" s="2011" t="s">
        <v>945</v>
      </c>
    </row>
    <row r="273" spans="1:9" ht="11.25" customHeight="1">
      <c r="A273" s="2011" t="s">
        <v>2344</v>
      </c>
      <c r="B273" s="2011" t="s">
        <v>16</v>
      </c>
      <c r="C273" s="2011" t="s">
        <v>3008</v>
      </c>
      <c r="D273" s="2011" t="s">
        <v>3009</v>
      </c>
      <c r="E273" s="2011" t="s">
        <v>3010</v>
      </c>
      <c r="F273" s="2011" t="s">
        <v>2578</v>
      </c>
      <c r="G273" s="2011" t="s">
        <v>28</v>
      </c>
      <c r="H273" s="2011" t="s">
        <v>28</v>
      </c>
      <c r="I273" s="2011" t="s">
        <v>945</v>
      </c>
    </row>
    <row r="274" spans="1:9" ht="11.25" customHeight="1">
      <c r="A274" s="2011" t="s">
        <v>2344</v>
      </c>
      <c r="B274" s="2011" t="s">
        <v>16</v>
      </c>
      <c r="C274" s="2011" t="s">
        <v>3011</v>
      </c>
      <c r="D274" s="2011" t="s">
        <v>3012</v>
      </c>
      <c r="E274" s="2011" t="s">
        <v>3013</v>
      </c>
      <c r="F274" s="2011" t="s">
        <v>2351</v>
      </c>
      <c r="G274" s="2011" t="s">
        <v>28</v>
      </c>
      <c r="H274" s="2011" t="s">
        <v>28</v>
      </c>
      <c r="I274" s="2011" t="s">
        <v>945</v>
      </c>
    </row>
    <row r="275" spans="1:9" ht="11.25" customHeight="1">
      <c r="A275" s="2011" t="s">
        <v>2344</v>
      </c>
      <c r="B275" s="2011" t="s">
        <v>16</v>
      </c>
      <c r="C275" s="2011" t="s">
        <v>3014</v>
      </c>
      <c r="D275" s="2011" t="s">
        <v>3015</v>
      </c>
      <c r="E275" s="2011" t="s">
        <v>3016</v>
      </c>
      <c r="F275" s="2011" t="s">
        <v>2673</v>
      </c>
      <c r="G275" s="2011" t="s">
        <v>28</v>
      </c>
      <c r="H275" s="2011" t="s">
        <v>28</v>
      </c>
      <c r="I275" s="2011" t="s">
        <v>945</v>
      </c>
    </row>
    <row r="276" spans="1:9" ht="11.25" customHeight="1">
      <c r="A276" s="2011" t="s">
        <v>2344</v>
      </c>
      <c r="B276" s="2011" t="s">
        <v>16</v>
      </c>
      <c r="C276" s="2011" t="s">
        <v>3017</v>
      </c>
      <c r="D276" s="2011" t="s">
        <v>3018</v>
      </c>
      <c r="E276" s="2011" t="s">
        <v>3019</v>
      </c>
      <c r="F276" s="2011" t="s">
        <v>2450</v>
      </c>
      <c r="G276" s="2011" t="s">
        <v>28</v>
      </c>
      <c r="H276" s="2011" t="s">
        <v>28</v>
      </c>
      <c r="I276" s="2011" t="s">
        <v>945</v>
      </c>
    </row>
    <row r="277" spans="1:9" ht="11.25" customHeight="1">
      <c r="A277" s="2011" t="s">
        <v>2344</v>
      </c>
      <c r="B277" s="2011" t="s">
        <v>16</v>
      </c>
      <c r="C277" s="2011" t="s">
        <v>3020</v>
      </c>
      <c r="D277" s="2011" t="s">
        <v>3021</v>
      </c>
      <c r="E277" s="2011" t="s">
        <v>3022</v>
      </c>
      <c r="F277" s="2011" t="s">
        <v>2347</v>
      </c>
      <c r="G277" s="2011" t="s">
        <v>28</v>
      </c>
      <c r="H277" s="2011" t="s">
        <v>28</v>
      </c>
      <c r="I277" s="2011" t="s">
        <v>945</v>
      </c>
    </row>
    <row r="278" spans="1:9" ht="11.25" customHeight="1">
      <c r="A278" s="2011" t="s">
        <v>2344</v>
      </c>
      <c r="B278" s="2011" t="s">
        <v>16</v>
      </c>
      <c r="C278" s="2011" t="s">
        <v>3023</v>
      </c>
      <c r="D278" s="2011" t="s">
        <v>3024</v>
      </c>
      <c r="E278" s="2011" t="s">
        <v>3025</v>
      </c>
      <c r="F278" s="2011" t="s">
        <v>2405</v>
      </c>
      <c r="G278" s="2011" t="s">
        <v>28</v>
      </c>
      <c r="H278" s="2011" t="s">
        <v>28</v>
      </c>
      <c r="I278" s="2011" t="s">
        <v>945</v>
      </c>
    </row>
    <row r="279" spans="1:9" ht="11.25" customHeight="1">
      <c r="A279" s="2011" t="s">
        <v>2344</v>
      </c>
      <c r="B279" s="2011" t="s">
        <v>16</v>
      </c>
      <c r="C279" s="2011" t="s">
        <v>3026</v>
      </c>
      <c r="D279" s="2011" t="s">
        <v>3027</v>
      </c>
      <c r="E279" s="2011" t="s">
        <v>3028</v>
      </c>
      <c r="F279" s="2011" t="s">
        <v>2396</v>
      </c>
      <c r="G279" s="2011" t="s">
        <v>3029</v>
      </c>
      <c r="H279" s="2011" t="s">
        <v>28</v>
      </c>
      <c r="I279" s="2011" t="s">
        <v>945</v>
      </c>
    </row>
    <row r="280" spans="1:9" ht="11.25" customHeight="1">
      <c r="A280" s="2011" t="s">
        <v>2344</v>
      </c>
      <c r="B280" s="2011" t="s">
        <v>16</v>
      </c>
      <c r="C280" s="2011" t="s">
        <v>3030</v>
      </c>
      <c r="D280" s="2011" t="s">
        <v>3031</v>
      </c>
      <c r="E280" s="2011" t="s">
        <v>2346</v>
      </c>
      <c r="F280" s="2011" t="s">
        <v>2347</v>
      </c>
      <c r="G280" s="2011" t="s">
        <v>28</v>
      </c>
      <c r="H280" s="2011" t="s">
        <v>28</v>
      </c>
      <c r="I280" s="2011" t="s">
        <v>945</v>
      </c>
    </row>
    <row r="281" spans="1:9" ht="11.25" customHeight="1">
      <c r="A281" s="2011" t="s">
        <v>2344</v>
      </c>
      <c r="B281" s="2011" t="s">
        <v>16</v>
      </c>
      <c r="C281" s="2011" t="s">
        <v>3032</v>
      </c>
      <c r="D281" s="2011" t="s">
        <v>3033</v>
      </c>
      <c r="E281" s="2011" t="s">
        <v>3034</v>
      </c>
      <c r="F281" s="2011" t="s">
        <v>2351</v>
      </c>
      <c r="G281" s="2011" t="s">
        <v>28</v>
      </c>
      <c r="H281" s="2011" t="s">
        <v>28</v>
      </c>
      <c r="I281" s="2011" t="s">
        <v>945</v>
      </c>
    </row>
    <row r="282" spans="1:9" ht="11.25" customHeight="1">
      <c r="A282" s="2011" t="s">
        <v>2344</v>
      </c>
      <c r="B282" s="2011" t="s">
        <v>16</v>
      </c>
      <c r="C282" s="2011" t="s">
        <v>3035</v>
      </c>
      <c r="D282" s="2011" t="s">
        <v>3036</v>
      </c>
      <c r="E282" s="2011" t="s">
        <v>3037</v>
      </c>
      <c r="F282" s="2011" t="s">
        <v>2351</v>
      </c>
      <c r="G282" s="2011" t="s">
        <v>28</v>
      </c>
      <c r="H282" s="2011" t="s">
        <v>28</v>
      </c>
      <c r="I282" s="2011" t="s">
        <v>945</v>
      </c>
    </row>
    <row r="283" spans="1:9" ht="11.25" customHeight="1">
      <c r="A283" s="2011" t="s">
        <v>2344</v>
      </c>
      <c r="B283" s="2011" t="s">
        <v>16</v>
      </c>
      <c r="C283" s="2011" t="s">
        <v>2691</v>
      </c>
      <c r="D283" s="2011" t="s">
        <v>2692</v>
      </c>
      <c r="E283" s="2011" t="s">
        <v>2693</v>
      </c>
      <c r="F283" s="2011" t="s">
        <v>2359</v>
      </c>
      <c r="G283" s="2011" t="s">
        <v>28</v>
      </c>
      <c r="H283" s="2011" t="s">
        <v>28</v>
      </c>
      <c r="I283" s="2011" t="s">
        <v>945</v>
      </c>
    </row>
    <row r="284" spans="1:9" ht="11.25" customHeight="1">
      <c r="A284" s="2011" t="s">
        <v>2344</v>
      </c>
      <c r="B284" s="2011" t="s">
        <v>16</v>
      </c>
      <c r="C284" s="2011" t="s">
        <v>2702</v>
      </c>
      <c r="D284" s="2011" t="s">
        <v>2703</v>
      </c>
      <c r="E284" s="2011" t="s">
        <v>2704</v>
      </c>
      <c r="F284" s="2011" t="s">
        <v>2673</v>
      </c>
      <c r="G284" s="2011" t="s">
        <v>2705</v>
      </c>
      <c r="H284" s="2011" t="s">
        <v>28</v>
      </c>
      <c r="I284" s="2011" t="s">
        <v>945</v>
      </c>
    </row>
    <row r="285" spans="1:9" ht="11.25" customHeight="1">
      <c r="A285" s="2011" t="s">
        <v>2344</v>
      </c>
      <c r="B285" s="2011" t="s">
        <v>16</v>
      </c>
      <c r="C285" s="2011" t="s">
        <v>2706</v>
      </c>
      <c r="D285" s="2011" t="s">
        <v>2707</v>
      </c>
      <c r="E285" s="2011" t="s">
        <v>2708</v>
      </c>
      <c r="F285" s="2011" t="s">
        <v>2396</v>
      </c>
      <c r="G285" s="2011" t="s">
        <v>2709</v>
      </c>
      <c r="H285" s="2011" t="s">
        <v>28</v>
      </c>
      <c r="I285" s="2011" t="s">
        <v>945</v>
      </c>
    </row>
    <row r="286" spans="1:9" ht="11.25" customHeight="1">
      <c r="A286" s="2011" t="s">
        <v>2344</v>
      </c>
      <c r="B286" s="2011" t="s">
        <v>16</v>
      </c>
      <c r="C286" s="2011" t="s">
        <v>3038</v>
      </c>
      <c r="D286" s="2011" t="s">
        <v>3039</v>
      </c>
      <c r="E286" s="2011" t="s">
        <v>3040</v>
      </c>
      <c r="F286" s="2011" t="s">
        <v>2450</v>
      </c>
      <c r="G286" s="2011" t="s">
        <v>28</v>
      </c>
      <c r="H286" s="2011" t="s">
        <v>28</v>
      </c>
      <c r="I286" s="2011" t="s">
        <v>945</v>
      </c>
    </row>
    <row r="287" spans="1:9" ht="11.25" customHeight="1">
      <c r="A287" s="2011" t="s">
        <v>2344</v>
      </c>
      <c r="B287" s="2011" t="s">
        <v>16</v>
      </c>
      <c r="C287" s="2011" t="s">
        <v>3041</v>
      </c>
      <c r="D287" s="2011" t="s">
        <v>3042</v>
      </c>
      <c r="E287" s="2011" t="s">
        <v>3043</v>
      </c>
      <c r="F287" s="2011" t="s">
        <v>2578</v>
      </c>
      <c r="G287" s="2011" t="s">
        <v>28</v>
      </c>
      <c r="H287" s="2011" t="s">
        <v>28</v>
      </c>
      <c r="I287" s="2011" t="s">
        <v>945</v>
      </c>
    </row>
    <row r="288" spans="1:9" ht="11.25" customHeight="1">
      <c r="A288" s="2011" t="s">
        <v>2344</v>
      </c>
      <c r="B288" s="2011" t="s">
        <v>16</v>
      </c>
      <c r="C288" s="2011" t="s">
        <v>3044</v>
      </c>
      <c r="D288" s="2011" t="s">
        <v>3045</v>
      </c>
      <c r="E288" s="2011" t="s">
        <v>3046</v>
      </c>
      <c r="F288" s="2011" t="s">
        <v>3047</v>
      </c>
      <c r="G288" s="2011" t="s">
        <v>28</v>
      </c>
      <c r="H288" s="2011" t="s">
        <v>28</v>
      </c>
      <c r="I288" s="2011" t="s">
        <v>945</v>
      </c>
    </row>
    <row r="289" spans="1:9" ht="11.25" customHeight="1">
      <c r="A289" s="2011" t="s">
        <v>2344</v>
      </c>
      <c r="B289" s="2011" t="s">
        <v>16</v>
      </c>
      <c r="C289" s="2011" t="s">
        <v>3048</v>
      </c>
      <c r="D289" s="2011" t="s">
        <v>3049</v>
      </c>
      <c r="E289" s="2011" t="s">
        <v>3050</v>
      </c>
      <c r="F289" s="2011" t="s">
        <v>2479</v>
      </c>
      <c r="G289" s="2011" t="s">
        <v>28</v>
      </c>
      <c r="H289" s="2011" t="s">
        <v>28</v>
      </c>
      <c r="I289" s="2011" t="s">
        <v>945</v>
      </c>
    </row>
    <row r="290" spans="1:9" ht="11.25" customHeight="1">
      <c r="A290" s="2011" t="s">
        <v>2344</v>
      </c>
      <c r="B290" s="2011" t="s">
        <v>16</v>
      </c>
      <c r="C290" s="2011" t="s">
        <v>2720</v>
      </c>
      <c r="D290" s="2011" t="s">
        <v>2721</v>
      </c>
      <c r="E290" s="2011" t="s">
        <v>2722</v>
      </c>
      <c r="F290" s="2011" t="s">
        <v>2547</v>
      </c>
      <c r="G290" s="2011" t="s">
        <v>28</v>
      </c>
      <c r="H290" s="2011" t="s">
        <v>28</v>
      </c>
      <c r="I290" s="2011" t="s">
        <v>945</v>
      </c>
    </row>
    <row r="291" spans="1:9" ht="11.25" customHeight="1">
      <c r="A291" s="2011" t="s">
        <v>2344</v>
      </c>
      <c r="B291" s="2011" t="s">
        <v>16</v>
      </c>
      <c r="C291" s="2011" t="s">
        <v>2723</v>
      </c>
      <c r="D291" s="2011" t="s">
        <v>2724</v>
      </c>
      <c r="E291" s="2011" t="s">
        <v>2725</v>
      </c>
      <c r="F291" s="2011" t="s">
        <v>2726</v>
      </c>
      <c r="G291" s="2011" t="s">
        <v>2727</v>
      </c>
      <c r="H291" s="2011" t="s">
        <v>28</v>
      </c>
      <c r="I291" s="2011" t="s">
        <v>945</v>
      </c>
    </row>
    <row r="292" spans="1:9" ht="11.25" customHeight="1">
      <c r="A292" s="2011" t="s">
        <v>2344</v>
      </c>
      <c r="B292" s="2011" t="s">
        <v>16</v>
      </c>
      <c r="C292" s="2011" t="s">
        <v>2728</v>
      </c>
      <c r="D292" s="2011" t="s">
        <v>2729</v>
      </c>
      <c r="E292" s="2011" t="s">
        <v>2730</v>
      </c>
      <c r="F292" s="2011" t="s">
        <v>2547</v>
      </c>
      <c r="G292" s="2011" t="s">
        <v>28</v>
      </c>
      <c r="H292" s="2011" t="s">
        <v>28</v>
      </c>
      <c r="I292" s="2011" t="s">
        <v>945</v>
      </c>
    </row>
    <row r="293" spans="1:9" ht="11.25" customHeight="1">
      <c r="A293" s="2011" t="s">
        <v>2344</v>
      </c>
      <c r="B293" s="2011" t="s">
        <v>16</v>
      </c>
      <c r="C293" s="2011" t="s">
        <v>2734</v>
      </c>
      <c r="D293" s="2011" t="s">
        <v>2735</v>
      </c>
      <c r="E293" s="2011" t="s">
        <v>2736</v>
      </c>
      <c r="F293" s="2011" t="s">
        <v>2479</v>
      </c>
      <c r="G293" s="2011" t="s">
        <v>28</v>
      </c>
      <c r="H293" s="2011" t="s">
        <v>28</v>
      </c>
      <c r="I293" s="2011" t="s">
        <v>945</v>
      </c>
    </row>
    <row r="294" spans="1:9" ht="11.25" customHeight="1">
      <c r="A294" s="2011" t="s">
        <v>2344</v>
      </c>
      <c r="B294" s="2011" t="s">
        <v>16</v>
      </c>
      <c r="C294" s="2011" t="s">
        <v>3051</v>
      </c>
      <c r="D294" s="2011" t="s">
        <v>3052</v>
      </c>
      <c r="E294" s="2011" t="s">
        <v>3053</v>
      </c>
      <c r="F294" s="2011" t="s">
        <v>2864</v>
      </c>
      <c r="G294" s="2011" t="s">
        <v>28</v>
      </c>
      <c r="H294" s="2011" t="s">
        <v>28</v>
      </c>
      <c r="I294" s="2011" t="s">
        <v>945</v>
      </c>
    </row>
    <row r="295" spans="1:9" ht="11.25" customHeight="1">
      <c r="A295" s="2011" t="s">
        <v>2344</v>
      </c>
      <c r="B295" s="2011" t="s">
        <v>16</v>
      </c>
      <c r="C295" s="2011" t="s">
        <v>3054</v>
      </c>
      <c r="D295" s="2011" t="s">
        <v>3055</v>
      </c>
      <c r="E295" s="2011" t="s">
        <v>3056</v>
      </c>
      <c r="F295" s="2011" t="s">
        <v>2864</v>
      </c>
      <c r="G295" s="2011" t="s">
        <v>28</v>
      </c>
      <c r="H295" s="2011" t="s">
        <v>28</v>
      </c>
      <c r="I295" s="2011" t="s">
        <v>945</v>
      </c>
    </row>
    <row r="296" spans="1:9" ht="11.25" customHeight="1">
      <c r="A296" s="2011" t="s">
        <v>2344</v>
      </c>
      <c r="B296" s="2011" t="s">
        <v>16</v>
      </c>
      <c r="C296" s="2011" t="s">
        <v>3057</v>
      </c>
      <c r="D296" s="2011" t="s">
        <v>3058</v>
      </c>
      <c r="E296" s="2011" t="s">
        <v>3059</v>
      </c>
      <c r="F296" s="2011" t="s">
        <v>2376</v>
      </c>
      <c r="G296" s="2011" t="s">
        <v>28</v>
      </c>
      <c r="H296" s="2011" t="s">
        <v>28</v>
      </c>
      <c r="I296" s="2011" t="s">
        <v>945</v>
      </c>
    </row>
    <row r="297" spans="1:9" ht="11.25" customHeight="1">
      <c r="A297" s="2011" t="s">
        <v>2344</v>
      </c>
      <c r="B297" s="2011" t="s">
        <v>16</v>
      </c>
      <c r="C297" s="2011" t="s">
        <v>3060</v>
      </c>
      <c r="D297" s="2011" t="s">
        <v>3061</v>
      </c>
      <c r="E297" s="2011" t="s">
        <v>3062</v>
      </c>
      <c r="F297" s="2011" t="s">
        <v>2743</v>
      </c>
      <c r="G297" s="2011" t="s">
        <v>28</v>
      </c>
      <c r="H297" s="2011" t="s">
        <v>28</v>
      </c>
      <c r="I297" s="2011" t="s">
        <v>945</v>
      </c>
    </row>
    <row r="298" spans="1:9" ht="11.25" customHeight="1">
      <c r="A298" s="2011" t="s">
        <v>2344</v>
      </c>
      <c r="B298" s="2011" t="s">
        <v>16</v>
      </c>
      <c r="C298" s="2011" t="s">
        <v>3063</v>
      </c>
      <c r="D298" s="2011" t="s">
        <v>3064</v>
      </c>
      <c r="E298" s="2011" t="s">
        <v>3065</v>
      </c>
      <c r="F298" s="2011" t="s">
        <v>2533</v>
      </c>
      <c r="G298" s="2011" t="s">
        <v>28</v>
      </c>
      <c r="H298" s="2011" t="s">
        <v>28</v>
      </c>
      <c r="I298" s="2011" t="s">
        <v>945</v>
      </c>
    </row>
    <row r="299" spans="1:9" ht="11.25" customHeight="1">
      <c r="A299" s="2011" t="s">
        <v>2344</v>
      </c>
      <c r="B299" s="2011" t="s">
        <v>16</v>
      </c>
      <c r="C299" s="2011" t="s">
        <v>2740</v>
      </c>
      <c r="D299" s="2011" t="s">
        <v>2741</v>
      </c>
      <c r="E299" s="2011" t="s">
        <v>2742</v>
      </c>
      <c r="F299" s="2011" t="s">
        <v>2743</v>
      </c>
      <c r="G299" s="2011" t="s">
        <v>28</v>
      </c>
      <c r="H299" s="2011" t="s">
        <v>28</v>
      </c>
      <c r="I299" s="2011" t="s">
        <v>945</v>
      </c>
    </row>
    <row r="300" spans="1:9" ht="11.25" customHeight="1">
      <c r="A300" s="2011" t="s">
        <v>2344</v>
      </c>
      <c r="B300" s="2011" t="s">
        <v>16</v>
      </c>
      <c r="C300" s="2011" t="s">
        <v>3066</v>
      </c>
      <c r="D300" s="2011" t="s">
        <v>3067</v>
      </c>
      <c r="E300" s="2011" t="s">
        <v>3068</v>
      </c>
      <c r="F300" s="2011" t="s">
        <v>2479</v>
      </c>
      <c r="G300" s="2011" t="s">
        <v>28</v>
      </c>
      <c r="H300" s="2011" t="s">
        <v>28</v>
      </c>
      <c r="I300" s="2011" t="s">
        <v>945</v>
      </c>
    </row>
    <row r="301" spans="1:9" ht="11.25" customHeight="1">
      <c r="A301" s="2011" t="s">
        <v>2344</v>
      </c>
      <c r="B301" s="2011" t="s">
        <v>16</v>
      </c>
      <c r="C301" s="2011" t="s">
        <v>3069</v>
      </c>
      <c r="D301" s="2011" t="s">
        <v>3070</v>
      </c>
      <c r="E301" s="2011" t="s">
        <v>3071</v>
      </c>
      <c r="F301" s="2011" t="s">
        <v>2923</v>
      </c>
      <c r="G301" s="2011" t="s">
        <v>3072</v>
      </c>
      <c r="H301" s="2011" t="s">
        <v>28</v>
      </c>
      <c r="I301" s="2011" t="s">
        <v>945</v>
      </c>
    </row>
    <row r="302" spans="1:9" ht="11.25" customHeight="1">
      <c r="A302" s="2011" t="s">
        <v>2344</v>
      </c>
      <c r="B302" s="2011" t="s">
        <v>16</v>
      </c>
      <c r="C302" s="2011" t="s">
        <v>3073</v>
      </c>
      <c r="D302" s="2011" t="s">
        <v>3074</v>
      </c>
      <c r="E302" s="2011" t="s">
        <v>3075</v>
      </c>
      <c r="F302" s="2011" t="s">
        <v>2450</v>
      </c>
      <c r="G302" s="2011" t="s">
        <v>28</v>
      </c>
      <c r="H302" s="2011" t="s">
        <v>28</v>
      </c>
      <c r="I302" s="2011" t="s">
        <v>945</v>
      </c>
    </row>
    <row r="303" spans="1:9" ht="11.25" customHeight="1">
      <c r="A303" s="2011" t="s">
        <v>2344</v>
      </c>
      <c r="B303" s="2011" t="s">
        <v>16</v>
      </c>
      <c r="C303" s="2011" t="s">
        <v>3076</v>
      </c>
      <c r="D303" s="2011" t="s">
        <v>3077</v>
      </c>
      <c r="E303" s="2011" t="s">
        <v>3078</v>
      </c>
      <c r="F303" s="2011" t="s">
        <v>2471</v>
      </c>
      <c r="G303" s="2011" t="s">
        <v>28</v>
      </c>
      <c r="H303" s="2011" t="s">
        <v>28</v>
      </c>
      <c r="I303" s="2011" t="s">
        <v>945</v>
      </c>
    </row>
    <row r="304" spans="1:9" ht="11.25" customHeight="1">
      <c r="A304" s="2011" t="s">
        <v>2344</v>
      </c>
      <c r="B304" s="2011" t="s">
        <v>16</v>
      </c>
      <c r="C304" s="2011" t="s">
        <v>3079</v>
      </c>
      <c r="D304" s="2011" t="s">
        <v>3080</v>
      </c>
      <c r="E304" s="2011" t="s">
        <v>3081</v>
      </c>
      <c r="F304" s="2011" t="s">
        <v>2351</v>
      </c>
      <c r="G304" s="2011" t="s">
        <v>28</v>
      </c>
      <c r="H304" s="2011" t="s">
        <v>28</v>
      </c>
      <c r="I304" s="2011" t="s">
        <v>945</v>
      </c>
    </row>
    <row r="305" spans="1:9" ht="11.25" customHeight="1">
      <c r="A305" s="2011" t="s">
        <v>2344</v>
      </c>
      <c r="B305" s="2011" t="s">
        <v>16</v>
      </c>
      <c r="C305" s="2011" t="s">
        <v>3082</v>
      </c>
      <c r="D305" s="2011" t="s">
        <v>3083</v>
      </c>
      <c r="E305" s="2011" t="s">
        <v>3084</v>
      </c>
      <c r="F305" s="2011" t="s">
        <v>2505</v>
      </c>
      <c r="G305" s="2011" t="s">
        <v>28</v>
      </c>
      <c r="H305" s="2011" t="s">
        <v>28</v>
      </c>
      <c r="I305" s="2011" t="s">
        <v>945</v>
      </c>
    </row>
    <row r="306" spans="1:9" ht="11.25" customHeight="1">
      <c r="A306" s="2011" t="s">
        <v>2344</v>
      </c>
      <c r="B306" s="2011" t="s">
        <v>16</v>
      </c>
      <c r="C306" s="2011" t="s">
        <v>3085</v>
      </c>
      <c r="D306" s="2011" t="s">
        <v>3086</v>
      </c>
      <c r="E306" s="2011" t="s">
        <v>3087</v>
      </c>
      <c r="F306" s="2011" t="s">
        <v>2864</v>
      </c>
      <c r="G306" s="2011" t="s">
        <v>3088</v>
      </c>
      <c r="H306" s="2011" t="s">
        <v>28</v>
      </c>
      <c r="I306" s="2011" t="s">
        <v>945</v>
      </c>
    </row>
    <row r="307" spans="1:9" ht="11.25" customHeight="1">
      <c r="A307" s="2011" t="s">
        <v>2344</v>
      </c>
      <c r="B307" s="2011" t="s">
        <v>16</v>
      </c>
      <c r="C307" s="2011" t="s">
        <v>3089</v>
      </c>
      <c r="D307" s="2011" t="s">
        <v>3090</v>
      </c>
      <c r="E307" s="2011" t="s">
        <v>3091</v>
      </c>
      <c r="F307" s="2011" t="s">
        <v>2405</v>
      </c>
      <c r="G307" s="2011" t="s">
        <v>28</v>
      </c>
      <c r="H307" s="2011" t="s">
        <v>28</v>
      </c>
      <c r="I307" s="2011" t="s">
        <v>945</v>
      </c>
    </row>
    <row r="308" spans="1:9" ht="11.25" customHeight="1">
      <c r="A308" s="2011" t="s">
        <v>2344</v>
      </c>
      <c r="B308" s="2011" t="s">
        <v>16</v>
      </c>
      <c r="C308" s="2011" t="s">
        <v>2770</v>
      </c>
      <c r="D308" s="2011" t="s">
        <v>2771</v>
      </c>
      <c r="E308" s="2011" t="s">
        <v>2772</v>
      </c>
      <c r="F308" s="2011" t="s">
        <v>2376</v>
      </c>
      <c r="G308" s="2011" t="s">
        <v>28</v>
      </c>
      <c r="H308" s="2011" t="s">
        <v>28</v>
      </c>
      <c r="I308" s="2011" t="s">
        <v>945</v>
      </c>
    </row>
    <row r="309" spans="1:9" ht="11.25" customHeight="1">
      <c r="A309" s="2011" t="s">
        <v>2344</v>
      </c>
      <c r="B309" s="2011" t="s">
        <v>16</v>
      </c>
      <c r="C309" s="2011" t="s">
        <v>28</v>
      </c>
      <c r="D309" s="2011" t="s">
        <v>2345</v>
      </c>
      <c r="E309" s="2011" t="s">
        <v>2346</v>
      </c>
      <c r="F309" s="2011" t="s">
        <v>2347</v>
      </c>
      <c r="G309" s="2011" t="s">
        <v>28</v>
      </c>
      <c r="H309" s="2011" t="s">
        <v>28</v>
      </c>
      <c r="I309" s="2011" t="s">
        <v>998</v>
      </c>
    </row>
    <row r="310" spans="1:9" ht="11.25" customHeight="1">
      <c r="A310" s="2011" t="s">
        <v>2344</v>
      </c>
      <c r="B310" s="2011" t="s">
        <v>16</v>
      </c>
      <c r="C310" s="2011" t="s">
        <v>2348</v>
      </c>
      <c r="D310" s="2011" t="s">
        <v>2349</v>
      </c>
      <c r="E310" s="2011" t="s">
        <v>2350</v>
      </c>
      <c r="F310" s="2011" t="s">
        <v>2351</v>
      </c>
      <c r="G310" s="2011" t="s">
        <v>28</v>
      </c>
      <c r="H310" s="2011" t="s">
        <v>28</v>
      </c>
      <c r="I310" s="2011" t="s">
        <v>998</v>
      </c>
    </row>
    <row r="311" spans="1:9" ht="11.25" customHeight="1">
      <c r="A311" s="2011" t="s">
        <v>2344</v>
      </c>
      <c r="B311" s="2011" t="s">
        <v>16</v>
      </c>
      <c r="C311" s="2011" t="s">
        <v>2356</v>
      </c>
      <c r="D311" s="2011" t="s">
        <v>2357</v>
      </c>
      <c r="E311" s="2011" t="s">
        <v>2358</v>
      </c>
      <c r="F311" s="2011" t="s">
        <v>2359</v>
      </c>
      <c r="G311" s="2011" t="s">
        <v>28</v>
      </c>
      <c r="H311" s="2011" t="s">
        <v>28</v>
      </c>
      <c r="I311" s="2011" t="s">
        <v>998</v>
      </c>
    </row>
    <row r="312" spans="1:9" ht="11.25" customHeight="1">
      <c r="A312" s="2011" t="s">
        <v>2344</v>
      </c>
      <c r="B312" s="2011" t="s">
        <v>16</v>
      </c>
      <c r="C312" s="2011" t="s">
        <v>2364</v>
      </c>
      <c r="D312" s="2011" t="s">
        <v>2361</v>
      </c>
      <c r="E312" s="2011" t="s">
        <v>2362</v>
      </c>
      <c r="F312" s="2011" t="s">
        <v>2365</v>
      </c>
      <c r="G312" s="2011" t="s">
        <v>2366</v>
      </c>
      <c r="H312" s="2011" t="s">
        <v>28</v>
      </c>
      <c r="I312" s="2011" t="s">
        <v>998</v>
      </c>
    </row>
    <row r="313" spans="1:9" ht="11.25" customHeight="1">
      <c r="A313" s="2011" t="s">
        <v>2344</v>
      </c>
      <c r="B313" s="2011" t="s">
        <v>16</v>
      </c>
      <c r="C313" s="2011" t="s">
        <v>2373</v>
      </c>
      <c r="D313" s="2011" t="s">
        <v>2374</v>
      </c>
      <c r="E313" s="2011" t="s">
        <v>2375</v>
      </c>
      <c r="F313" s="2011" t="s">
        <v>2376</v>
      </c>
      <c r="G313" s="2011" t="s">
        <v>28</v>
      </c>
      <c r="H313" s="2011" t="s">
        <v>28</v>
      </c>
      <c r="I313" s="2011" t="s">
        <v>998</v>
      </c>
    </row>
    <row r="314" spans="1:9" ht="11.25" customHeight="1">
      <c r="A314" s="2011" t="s">
        <v>2344</v>
      </c>
      <c r="B314" s="2011" t="s">
        <v>16</v>
      </c>
      <c r="C314" s="2011" t="s">
        <v>2381</v>
      </c>
      <c r="D314" s="2011" t="s">
        <v>2382</v>
      </c>
      <c r="E314" s="2011" t="s">
        <v>2383</v>
      </c>
      <c r="F314" s="2011" t="s">
        <v>2384</v>
      </c>
      <c r="G314" s="2011" t="s">
        <v>28</v>
      </c>
      <c r="H314" s="2011" t="s">
        <v>28</v>
      </c>
      <c r="I314" s="2011" t="s">
        <v>998</v>
      </c>
    </row>
    <row r="315" spans="1:9" ht="11.25" customHeight="1">
      <c r="A315" s="2011" t="s">
        <v>2344</v>
      </c>
      <c r="B315" s="2011" t="s">
        <v>16</v>
      </c>
      <c r="C315" s="2011" t="s">
        <v>2795</v>
      </c>
      <c r="D315" s="2011" t="s">
        <v>2796</v>
      </c>
      <c r="E315" s="2011" t="s">
        <v>2797</v>
      </c>
      <c r="F315" s="2011" t="s">
        <v>2591</v>
      </c>
      <c r="G315" s="2011" t="s">
        <v>2798</v>
      </c>
      <c r="H315" s="2011" t="s">
        <v>28</v>
      </c>
      <c r="I315" s="2011" t="s">
        <v>998</v>
      </c>
    </row>
    <row r="316" spans="1:9" ht="11.25" customHeight="1">
      <c r="A316" s="2011" t="s">
        <v>2344</v>
      </c>
      <c r="B316" s="2011" t="s">
        <v>16</v>
      </c>
      <c r="C316" s="2011" t="s">
        <v>3092</v>
      </c>
      <c r="D316" s="2011" t="s">
        <v>3093</v>
      </c>
      <c r="E316" s="2011" t="s">
        <v>3094</v>
      </c>
      <c r="F316" s="2011" t="s">
        <v>2347</v>
      </c>
      <c r="G316" s="2011" t="s">
        <v>28</v>
      </c>
      <c r="H316" s="2011" t="s">
        <v>28</v>
      </c>
      <c r="I316" s="2011" t="s">
        <v>998</v>
      </c>
    </row>
    <row r="317" spans="1:9" ht="11.25" customHeight="1">
      <c r="A317" s="2011" t="s">
        <v>2344</v>
      </c>
      <c r="B317" s="2011" t="s">
        <v>16</v>
      </c>
      <c r="C317" s="2011" t="s">
        <v>2390</v>
      </c>
      <c r="D317" s="2011" t="s">
        <v>2391</v>
      </c>
      <c r="E317" s="2011" t="s">
        <v>2392</v>
      </c>
      <c r="F317" s="2011" t="s">
        <v>2355</v>
      </c>
      <c r="G317" s="2011" t="s">
        <v>28</v>
      </c>
      <c r="H317" s="2011" t="s">
        <v>28</v>
      </c>
      <c r="I317" s="2011" t="s">
        <v>998</v>
      </c>
    </row>
    <row r="318" spans="1:9" ht="11.25" customHeight="1">
      <c r="A318" s="2011" t="s">
        <v>2344</v>
      </c>
      <c r="B318" s="2011" t="s">
        <v>16</v>
      </c>
      <c r="C318" s="2011" t="s">
        <v>2393</v>
      </c>
      <c r="D318" s="2011" t="s">
        <v>2394</v>
      </c>
      <c r="E318" s="2011" t="s">
        <v>2395</v>
      </c>
      <c r="F318" s="2011" t="s">
        <v>2396</v>
      </c>
      <c r="G318" s="2011" t="s">
        <v>28</v>
      </c>
      <c r="H318" s="2011" t="s">
        <v>28</v>
      </c>
      <c r="I318" s="2011" t="s">
        <v>998</v>
      </c>
    </row>
    <row r="319" spans="1:9" ht="11.25" customHeight="1">
      <c r="A319" s="2011" t="s">
        <v>2344</v>
      </c>
      <c r="B319" s="2011" t="s">
        <v>16</v>
      </c>
      <c r="C319" s="2011" t="s">
        <v>2799</v>
      </c>
      <c r="D319" s="2011" t="s">
        <v>2800</v>
      </c>
      <c r="E319" s="2011" t="s">
        <v>2801</v>
      </c>
      <c r="F319" s="2011" t="s">
        <v>2376</v>
      </c>
      <c r="G319" s="2011" t="s">
        <v>2802</v>
      </c>
      <c r="H319" s="2011" t="s">
        <v>28</v>
      </c>
      <c r="I319" s="2011" t="s">
        <v>998</v>
      </c>
    </row>
    <row r="320" spans="1:9" ht="11.25" customHeight="1">
      <c r="A320" s="2011" t="s">
        <v>2344</v>
      </c>
      <c r="B320" s="2011" t="s">
        <v>16</v>
      </c>
      <c r="C320" s="2011" t="s">
        <v>2803</v>
      </c>
      <c r="D320" s="2011" t="s">
        <v>2804</v>
      </c>
      <c r="E320" s="2011" t="s">
        <v>2805</v>
      </c>
      <c r="F320" s="2011" t="s">
        <v>2355</v>
      </c>
      <c r="G320" s="2011" t="s">
        <v>28</v>
      </c>
      <c r="H320" s="2011" t="s">
        <v>28</v>
      </c>
      <c r="I320" s="2011" t="s">
        <v>998</v>
      </c>
    </row>
    <row r="321" spans="1:9" ht="11.25" customHeight="1">
      <c r="A321" s="2011" t="s">
        <v>2344</v>
      </c>
      <c r="B321" s="2011" t="s">
        <v>16</v>
      </c>
      <c r="C321" s="2011" t="s">
        <v>2410</v>
      </c>
      <c r="D321" s="2011" t="s">
        <v>2411</v>
      </c>
      <c r="E321" s="2011" t="s">
        <v>2412</v>
      </c>
      <c r="F321" s="2011" t="s">
        <v>2413</v>
      </c>
      <c r="G321" s="2011" t="s">
        <v>28</v>
      </c>
      <c r="H321" s="2011" t="s">
        <v>28</v>
      </c>
      <c r="I321" s="2011" t="s">
        <v>998</v>
      </c>
    </row>
    <row r="322" spans="1:9" ht="11.25" customHeight="1">
      <c r="A322" s="2011" t="s">
        <v>2344</v>
      </c>
      <c r="B322" s="2011" t="s">
        <v>16</v>
      </c>
      <c r="C322" s="2011" t="s">
        <v>2806</v>
      </c>
      <c r="D322" s="2011" t="s">
        <v>2807</v>
      </c>
      <c r="E322" s="2011" t="s">
        <v>2808</v>
      </c>
      <c r="F322" s="2011" t="s">
        <v>2769</v>
      </c>
      <c r="G322" s="2011" t="s">
        <v>2809</v>
      </c>
      <c r="H322" s="2011" t="s">
        <v>28</v>
      </c>
      <c r="I322" s="2011" t="s">
        <v>998</v>
      </c>
    </row>
    <row r="323" spans="1:9" ht="11.25" customHeight="1">
      <c r="A323" s="2011" t="s">
        <v>2344</v>
      </c>
      <c r="B323" s="2011" t="s">
        <v>16</v>
      </c>
      <c r="C323" s="2011" t="s">
        <v>2422</v>
      </c>
      <c r="D323" s="2011" t="s">
        <v>2423</v>
      </c>
      <c r="E323" s="2011" t="s">
        <v>2424</v>
      </c>
      <c r="F323" s="2011" t="s">
        <v>2347</v>
      </c>
      <c r="G323" s="2011" t="s">
        <v>2425</v>
      </c>
      <c r="H323" s="2011" t="s">
        <v>28</v>
      </c>
      <c r="I323" s="2011" t="s">
        <v>998</v>
      </c>
    </row>
    <row r="324" spans="1:9" ht="11.25" customHeight="1">
      <c r="A324" s="2011" t="s">
        <v>2344</v>
      </c>
      <c r="B324" s="2011" t="s">
        <v>16</v>
      </c>
      <c r="C324" s="2011" t="s">
        <v>2810</v>
      </c>
      <c r="D324" s="2011" t="s">
        <v>2811</v>
      </c>
      <c r="E324" s="2011" t="s">
        <v>2812</v>
      </c>
      <c r="F324" s="2011" t="s">
        <v>2813</v>
      </c>
      <c r="G324" s="2011" t="s">
        <v>28</v>
      </c>
      <c r="H324" s="2011" t="s">
        <v>28</v>
      </c>
      <c r="I324" s="2011" t="s">
        <v>998</v>
      </c>
    </row>
    <row r="325" spans="1:9" ht="11.25" customHeight="1">
      <c r="A325" s="2011" t="s">
        <v>2344</v>
      </c>
      <c r="B325" s="2011" t="s">
        <v>16</v>
      </c>
      <c r="C325" s="2011" t="s">
        <v>2444</v>
      </c>
      <c r="D325" s="2011" t="s">
        <v>2445</v>
      </c>
      <c r="E325" s="2011" t="s">
        <v>2442</v>
      </c>
      <c r="F325" s="2011" t="s">
        <v>2446</v>
      </c>
      <c r="G325" s="2011" t="s">
        <v>28</v>
      </c>
      <c r="H325" s="2011" t="s">
        <v>28</v>
      </c>
      <c r="I325" s="2011" t="s">
        <v>998</v>
      </c>
    </row>
    <row r="326" spans="1:9" ht="11.25" customHeight="1">
      <c r="A326" s="2011" t="s">
        <v>2344</v>
      </c>
      <c r="B326" s="2011" t="s">
        <v>16</v>
      </c>
      <c r="C326" s="2011" t="s">
        <v>2814</v>
      </c>
      <c r="D326" s="2011" t="s">
        <v>2815</v>
      </c>
      <c r="E326" s="2011" t="s">
        <v>2816</v>
      </c>
      <c r="F326" s="2011" t="s">
        <v>2479</v>
      </c>
      <c r="G326" s="2011" t="s">
        <v>28</v>
      </c>
      <c r="H326" s="2011" t="s">
        <v>28</v>
      </c>
      <c r="I326" s="2011" t="s">
        <v>998</v>
      </c>
    </row>
    <row r="327" spans="1:9" ht="11.25" customHeight="1">
      <c r="A327" s="2011" t="s">
        <v>2344</v>
      </c>
      <c r="B327" s="2011" t="s">
        <v>16</v>
      </c>
      <c r="C327" s="2011" t="s">
        <v>2820</v>
      </c>
      <c r="D327" s="2011" t="s">
        <v>2821</v>
      </c>
      <c r="E327" s="2011" t="s">
        <v>2822</v>
      </c>
      <c r="F327" s="2011" t="s">
        <v>667</v>
      </c>
      <c r="G327" s="2011" t="s">
        <v>28</v>
      </c>
      <c r="H327" s="2011" t="s">
        <v>28</v>
      </c>
      <c r="I327" s="2011" t="s">
        <v>998</v>
      </c>
    </row>
    <row r="328" spans="1:9" ht="11.25" customHeight="1">
      <c r="A328" s="2011" t="s">
        <v>2344</v>
      </c>
      <c r="B328" s="2011" t="s">
        <v>16</v>
      </c>
      <c r="C328" s="2011" t="s">
        <v>13</v>
      </c>
      <c r="D328" s="2011" t="s">
        <v>47</v>
      </c>
      <c r="E328" s="2011" t="s">
        <v>50</v>
      </c>
      <c r="F328" s="2011" t="s">
        <v>52</v>
      </c>
      <c r="G328" s="2011" t="s">
        <v>28</v>
      </c>
      <c r="H328" s="2011" t="s">
        <v>28</v>
      </c>
      <c r="I328" s="2011" t="s">
        <v>998</v>
      </c>
    </row>
    <row r="329" spans="1:9" ht="11.25" customHeight="1">
      <c r="A329" s="2011" t="s">
        <v>2344</v>
      </c>
      <c r="B329" s="2011" t="s">
        <v>16</v>
      </c>
      <c r="C329" s="2011" t="s">
        <v>2776</v>
      </c>
      <c r="D329" s="2011" t="s">
        <v>47</v>
      </c>
      <c r="E329" s="2011" t="s">
        <v>50</v>
      </c>
      <c r="F329" s="2011" t="s">
        <v>2777</v>
      </c>
      <c r="G329" s="2011" t="s">
        <v>28</v>
      </c>
      <c r="H329" s="2011" t="s">
        <v>28</v>
      </c>
      <c r="I329" s="2011" t="s">
        <v>998</v>
      </c>
    </row>
    <row r="330" spans="1:9" ht="11.25" customHeight="1">
      <c r="A330" s="2011" t="s">
        <v>2344</v>
      </c>
      <c r="B330" s="2011" t="s">
        <v>16</v>
      </c>
      <c r="C330" s="2011" t="s">
        <v>2778</v>
      </c>
      <c r="D330" s="2011" t="s">
        <v>47</v>
      </c>
      <c r="E330" s="2011" t="s">
        <v>50</v>
      </c>
      <c r="F330" s="2011" t="s">
        <v>2779</v>
      </c>
      <c r="G330" s="2011" t="s">
        <v>28</v>
      </c>
      <c r="H330" s="2011" t="s">
        <v>28</v>
      </c>
      <c r="I330" s="2011" t="s">
        <v>998</v>
      </c>
    </row>
    <row r="331" spans="1:9" ht="11.25" customHeight="1">
      <c r="A331" s="2011" t="s">
        <v>2344</v>
      </c>
      <c r="B331" s="2011" t="s">
        <v>16</v>
      </c>
      <c r="C331" s="2011" t="s">
        <v>2780</v>
      </c>
      <c r="D331" s="2011" t="s">
        <v>47</v>
      </c>
      <c r="E331" s="2011" t="s">
        <v>50</v>
      </c>
      <c r="F331" s="2011" t="s">
        <v>2781</v>
      </c>
      <c r="G331" s="2011" t="s">
        <v>28</v>
      </c>
      <c r="H331" s="2011" t="s">
        <v>28</v>
      </c>
      <c r="I331" s="2011" t="s">
        <v>998</v>
      </c>
    </row>
    <row r="332" spans="1:9" ht="11.25" customHeight="1">
      <c r="A332" s="2011" t="s">
        <v>2344</v>
      </c>
      <c r="B332" s="2011" t="s">
        <v>16</v>
      </c>
      <c r="C332" s="2011" t="s">
        <v>2826</v>
      </c>
      <c r="D332" s="2011" t="s">
        <v>47</v>
      </c>
      <c r="E332" s="2011" t="s">
        <v>50</v>
      </c>
      <c r="F332" s="2011" t="s">
        <v>2827</v>
      </c>
      <c r="G332" s="2011" t="s">
        <v>28</v>
      </c>
      <c r="H332" s="2011" t="s">
        <v>28</v>
      </c>
      <c r="I332" s="2011" t="s">
        <v>998</v>
      </c>
    </row>
    <row r="333" spans="1:9" ht="11.25" customHeight="1">
      <c r="A333" s="2011" t="s">
        <v>2344</v>
      </c>
      <c r="B333" s="2011" t="s">
        <v>16</v>
      </c>
      <c r="C333" s="2011" t="s">
        <v>2782</v>
      </c>
      <c r="D333" s="2011" t="s">
        <v>47</v>
      </c>
      <c r="E333" s="2011" t="s">
        <v>50</v>
      </c>
      <c r="F333" s="2011" t="s">
        <v>2783</v>
      </c>
      <c r="G333" s="2011" t="s">
        <v>28</v>
      </c>
      <c r="H333" s="2011" t="s">
        <v>28</v>
      </c>
      <c r="I333" s="2011" t="s">
        <v>998</v>
      </c>
    </row>
    <row r="334" spans="1:9" ht="11.25" customHeight="1">
      <c r="A334" s="2011" t="s">
        <v>2344</v>
      </c>
      <c r="B334" s="2011" t="s">
        <v>16</v>
      </c>
      <c r="C334" s="2011" t="s">
        <v>2784</v>
      </c>
      <c r="D334" s="2011" t="s">
        <v>47</v>
      </c>
      <c r="E334" s="2011" t="s">
        <v>50</v>
      </c>
      <c r="F334" s="2011" t="s">
        <v>2785</v>
      </c>
      <c r="G334" s="2011" t="s">
        <v>28</v>
      </c>
      <c r="H334" s="2011" t="s">
        <v>28</v>
      </c>
      <c r="I334" s="2011" t="s">
        <v>998</v>
      </c>
    </row>
    <row r="335" spans="1:9" ht="11.25" customHeight="1">
      <c r="A335" s="2011" t="s">
        <v>2344</v>
      </c>
      <c r="B335" s="2011" t="s">
        <v>16</v>
      </c>
      <c r="C335" s="2011" t="s">
        <v>2786</v>
      </c>
      <c r="D335" s="2011" t="s">
        <v>47</v>
      </c>
      <c r="E335" s="2011" t="s">
        <v>50</v>
      </c>
      <c r="F335" s="2011" t="s">
        <v>2787</v>
      </c>
      <c r="G335" s="2011" t="s">
        <v>28</v>
      </c>
      <c r="H335" s="2011" t="s">
        <v>28</v>
      </c>
      <c r="I335" s="2011" t="s">
        <v>998</v>
      </c>
    </row>
    <row r="336" spans="1:9" ht="11.25" customHeight="1">
      <c r="A336" s="2011" t="s">
        <v>2344</v>
      </c>
      <c r="B336" s="2011" t="s">
        <v>16</v>
      </c>
      <c r="C336" s="2011" t="s">
        <v>2788</v>
      </c>
      <c r="D336" s="2011" t="s">
        <v>47</v>
      </c>
      <c r="E336" s="2011" t="s">
        <v>50</v>
      </c>
      <c r="F336" s="2011" t="s">
        <v>2789</v>
      </c>
      <c r="G336" s="2011" t="s">
        <v>28</v>
      </c>
      <c r="H336" s="2011" t="s">
        <v>28</v>
      </c>
      <c r="I336" s="2011" t="s">
        <v>998</v>
      </c>
    </row>
    <row r="337" spans="1:9" ht="11.25" customHeight="1">
      <c r="A337" s="2011" t="s">
        <v>2344</v>
      </c>
      <c r="B337" s="2011" t="s">
        <v>16</v>
      </c>
      <c r="C337" s="2011" t="s">
        <v>2790</v>
      </c>
      <c r="D337" s="2011" t="s">
        <v>47</v>
      </c>
      <c r="E337" s="2011" t="s">
        <v>50</v>
      </c>
      <c r="F337" s="2011" t="s">
        <v>2791</v>
      </c>
      <c r="G337" s="2011" t="s">
        <v>28</v>
      </c>
      <c r="H337" s="2011" t="s">
        <v>28</v>
      </c>
      <c r="I337" s="2011" t="s">
        <v>998</v>
      </c>
    </row>
    <row r="338" spans="1:9" ht="11.25" customHeight="1">
      <c r="A338" s="2011" t="s">
        <v>2344</v>
      </c>
      <c r="B338" s="2011" t="s">
        <v>16</v>
      </c>
      <c r="C338" s="2011" t="s">
        <v>2490</v>
      </c>
      <c r="D338" s="2011" t="s">
        <v>47</v>
      </c>
      <c r="E338" s="2011" t="s">
        <v>50</v>
      </c>
      <c r="F338" s="2011" t="s">
        <v>2489</v>
      </c>
      <c r="G338" s="2011" t="s">
        <v>28</v>
      </c>
      <c r="H338" s="2011" t="s">
        <v>28</v>
      </c>
      <c r="I338" s="2011" t="s">
        <v>998</v>
      </c>
    </row>
    <row r="339" spans="1:9" ht="11.25" customHeight="1">
      <c r="A339" s="2011" t="s">
        <v>2344</v>
      </c>
      <c r="B339" s="2011" t="s">
        <v>16</v>
      </c>
      <c r="C339" s="2011" t="s">
        <v>2828</v>
      </c>
      <c r="D339" s="2011" t="s">
        <v>2829</v>
      </c>
      <c r="E339" s="2011" t="s">
        <v>2830</v>
      </c>
      <c r="F339" s="2011" t="s">
        <v>2376</v>
      </c>
      <c r="G339" s="2011" t="s">
        <v>28</v>
      </c>
      <c r="H339" s="2011" t="s">
        <v>28</v>
      </c>
      <c r="I339" s="2011" t="s">
        <v>998</v>
      </c>
    </row>
    <row r="340" spans="1:9" ht="11.25" customHeight="1">
      <c r="A340" s="2011" t="s">
        <v>2344</v>
      </c>
      <c r="B340" s="2011" t="s">
        <v>16</v>
      </c>
      <c r="C340" s="2011" t="s">
        <v>2831</v>
      </c>
      <c r="D340" s="2011" t="s">
        <v>2829</v>
      </c>
      <c r="E340" s="2011" t="s">
        <v>2830</v>
      </c>
      <c r="F340" s="2011" t="s">
        <v>2832</v>
      </c>
      <c r="G340" s="2011" t="s">
        <v>28</v>
      </c>
      <c r="H340" s="2011" t="s">
        <v>28</v>
      </c>
      <c r="I340" s="2011" t="s">
        <v>998</v>
      </c>
    </row>
    <row r="341" spans="1:9" ht="11.25" customHeight="1">
      <c r="A341" s="2011" t="s">
        <v>2344</v>
      </c>
      <c r="B341" s="2011" t="s">
        <v>16</v>
      </c>
      <c r="C341" s="2011" t="s">
        <v>2833</v>
      </c>
      <c r="D341" s="2011" t="s">
        <v>2793</v>
      </c>
      <c r="E341" s="2011" t="s">
        <v>50</v>
      </c>
      <c r="F341" s="2011" t="s">
        <v>2834</v>
      </c>
      <c r="G341" s="2011" t="s">
        <v>28</v>
      </c>
      <c r="H341" s="2011" t="s">
        <v>28</v>
      </c>
      <c r="I341" s="2011" t="s">
        <v>998</v>
      </c>
    </row>
    <row r="342" spans="1:9" ht="11.25" customHeight="1">
      <c r="A342" s="2011" t="s">
        <v>2344</v>
      </c>
      <c r="B342" s="2011" t="s">
        <v>16</v>
      </c>
      <c r="C342" s="2011" t="s">
        <v>2792</v>
      </c>
      <c r="D342" s="2011" t="s">
        <v>2793</v>
      </c>
      <c r="E342" s="2011" t="s">
        <v>50</v>
      </c>
      <c r="F342" s="2011" t="s">
        <v>2794</v>
      </c>
      <c r="G342" s="2011" t="s">
        <v>28</v>
      </c>
      <c r="H342" s="2011" t="s">
        <v>28</v>
      </c>
      <c r="I342" s="2011" t="s">
        <v>998</v>
      </c>
    </row>
    <row r="343" spans="1:9" ht="11.25" customHeight="1">
      <c r="A343" s="2011" t="s">
        <v>2344</v>
      </c>
      <c r="B343" s="2011" t="s">
        <v>16</v>
      </c>
      <c r="C343" s="2011" t="s">
        <v>3095</v>
      </c>
      <c r="D343" s="2011" t="s">
        <v>3096</v>
      </c>
      <c r="E343" s="2011" t="s">
        <v>3097</v>
      </c>
      <c r="F343" s="2011" t="s">
        <v>2608</v>
      </c>
      <c r="G343" s="2011" t="s">
        <v>3098</v>
      </c>
      <c r="H343" s="2011" t="s">
        <v>28</v>
      </c>
      <c r="I343" s="2011" t="s">
        <v>998</v>
      </c>
    </row>
    <row r="344" spans="1:9" ht="11.25" customHeight="1">
      <c r="A344" s="2011" t="s">
        <v>2344</v>
      </c>
      <c r="B344" s="2011" t="s">
        <v>16</v>
      </c>
      <c r="C344" s="2011" t="s">
        <v>2838</v>
      </c>
      <c r="D344" s="2011" t="s">
        <v>2839</v>
      </c>
      <c r="E344" s="2011" t="s">
        <v>2840</v>
      </c>
      <c r="F344" s="2011" t="s">
        <v>2578</v>
      </c>
      <c r="G344" s="2011" t="s">
        <v>28</v>
      </c>
      <c r="H344" s="2011" t="s">
        <v>28</v>
      </c>
      <c r="I344" s="2011" t="s">
        <v>998</v>
      </c>
    </row>
    <row r="345" spans="1:9" ht="11.25" customHeight="1">
      <c r="A345" s="2011" t="s">
        <v>2344</v>
      </c>
      <c r="B345" s="2011" t="s">
        <v>16</v>
      </c>
      <c r="C345" s="2011" t="s">
        <v>2841</v>
      </c>
      <c r="D345" s="2011" t="s">
        <v>2842</v>
      </c>
      <c r="E345" s="2011" t="s">
        <v>2843</v>
      </c>
      <c r="F345" s="2011" t="s">
        <v>2687</v>
      </c>
      <c r="G345" s="2011" t="s">
        <v>28</v>
      </c>
      <c r="H345" s="2011" t="s">
        <v>28</v>
      </c>
      <c r="I345" s="2011" t="s">
        <v>998</v>
      </c>
    </row>
    <row r="346" spans="1:9" ht="11.25" customHeight="1">
      <c r="A346" s="2011" t="s">
        <v>2344</v>
      </c>
      <c r="B346" s="2011" t="s">
        <v>16</v>
      </c>
      <c r="C346" s="2011" t="s">
        <v>2844</v>
      </c>
      <c r="D346" s="2011" t="s">
        <v>2845</v>
      </c>
      <c r="E346" s="2011" t="s">
        <v>2846</v>
      </c>
      <c r="F346" s="2011" t="s">
        <v>2405</v>
      </c>
      <c r="G346" s="2011" t="s">
        <v>28</v>
      </c>
      <c r="H346" s="2011" t="s">
        <v>28</v>
      </c>
      <c r="I346" s="2011" t="s">
        <v>998</v>
      </c>
    </row>
    <row r="347" spans="1:9" ht="11.25" customHeight="1">
      <c r="A347" s="2011" t="s">
        <v>2344</v>
      </c>
      <c r="B347" s="2011" t="s">
        <v>16</v>
      </c>
      <c r="C347" s="2011" t="s">
        <v>2847</v>
      </c>
      <c r="D347" s="2011" t="s">
        <v>2848</v>
      </c>
      <c r="E347" s="2011" t="s">
        <v>2849</v>
      </c>
      <c r="F347" s="2011" t="s">
        <v>2498</v>
      </c>
      <c r="G347" s="2011" t="s">
        <v>28</v>
      </c>
      <c r="H347" s="2011" t="s">
        <v>28</v>
      </c>
      <c r="I347" s="2011" t="s">
        <v>998</v>
      </c>
    </row>
    <row r="348" spans="1:9" ht="11.25" customHeight="1">
      <c r="A348" s="2011" t="s">
        <v>2344</v>
      </c>
      <c r="B348" s="2011" t="s">
        <v>16</v>
      </c>
      <c r="C348" s="2011" t="s">
        <v>2854</v>
      </c>
      <c r="D348" s="2011" t="s">
        <v>2855</v>
      </c>
      <c r="E348" s="2011" t="s">
        <v>2856</v>
      </c>
      <c r="F348" s="2011" t="s">
        <v>2405</v>
      </c>
      <c r="G348" s="2011" t="s">
        <v>28</v>
      </c>
      <c r="H348" s="2011" t="s">
        <v>28</v>
      </c>
      <c r="I348" s="2011" t="s">
        <v>998</v>
      </c>
    </row>
    <row r="349" spans="1:9" ht="11.25" customHeight="1">
      <c r="A349" s="2011" t="s">
        <v>2344</v>
      </c>
      <c r="B349" s="2011" t="s">
        <v>16</v>
      </c>
      <c r="C349" s="2011" t="s">
        <v>2495</v>
      </c>
      <c r="D349" s="2011" t="s">
        <v>2496</v>
      </c>
      <c r="E349" s="2011" t="s">
        <v>2497</v>
      </c>
      <c r="F349" s="2011" t="s">
        <v>2498</v>
      </c>
      <c r="G349" s="2011" t="s">
        <v>28</v>
      </c>
      <c r="H349" s="2011" t="s">
        <v>28</v>
      </c>
      <c r="I349" s="2011" t="s">
        <v>998</v>
      </c>
    </row>
    <row r="350" spans="1:9" ht="11.25" customHeight="1">
      <c r="A350" s="2011" t="s">
        <v>2344</v>
      </c>
      <c r="B350" s="2011" t="s">
        <v>16</v>
      </c>
      <c r="C350" s="2011" t="s">
        <v>2857</v>
      </c>
      <c r="D350" s="2011" t="s">
        <v>2858</v>
      </c>
      <c r="E350" s="2011" t="s">
        <v>2859</v>
      </c>
      <c r="F350" s="2011" t="s">
        <v>2516</v>
      </c>
      <c r="G350" s="2011" t="s">
        <v>2860</v>
      </c>
      <c r="H350" s="2011" t="s">
        <v>28</v>
      </c>
      <c r="I350" s="2011" t="s">
        <v>998</v>
      </c>
    </row>
    <row r="351" spans="1:9" ht="11.25" customHeight="1">
      <c r="A351" s="2011" t="s">
        <v>2344</v>
      </c>
      <c r="B351" s="2011" t="s">
        <v>16</v>
      </c>
      <c r="C351" s="2011" t="s">
        <v>2861</v>
      </c>
      <c r="D351" s="2011" t="s">
        <v>2862</v>
      </c>
      <c r="E351" s="2011" t="s">
        <v>2863</v>
      </c>
      <c r="F351" s="2011" t="s">
        <v>2864</v>
      </c>
      <c r="G351" s="2011" t="s">
        <v>28</v>
      </c>
      <c r="H351" s="2011" t="s">
        <v>28</v>
      </c>
      <c r="I351" s="2011" t="s">
        <v>998</v>
      </c>
    </row>
    <row r="352" spans="1:9" ht="11.25" customHeight="1">
      <c r="A352" s="2011" t="s">
        <v>2344</v>
      </c>
      <c r="B352" s="2011" t="s">
        <v>16</v>
      </c>
      <c r="C352" s="2011" t="s">
        <v>2865</v>
      </c>
      <c r="D352" s="2011" t="s">
        <v>2866</v>
      </c>
      <c r="E352" s="2011" t="s">
        <v>2867</v>
      </c>
      <c r="F352" s="2011" t="s">
        <v>2516</v>
      </c>
      <c r="G352" s="2011" t="s">
        <v>28</v>
      </c>
      <c r="H352" s="2011" t="s">
        <v>28</v>
      </c>
      <c r="I352" s="2011" t="s">
        <v>998</v>
      </c>
    </row>
    <row r="353" spans="1:9" ht="11.25" customHeight="1">
      <c r="A353" s="2011" t="s">
        <v>2344</v>
      </c>
      <c r="B353" s="2011" t="s">
        <v>16</v>
      </c>
      <c r="C353" s="2011" t="s">
        <v>2868</v>
      </c>
      <c r="D353" s="2011" t="s">
        <v>2869</v>
      </c>
      <c r="E353" s="2011" t="s">
        <v>2870</v>
      </c>
      <c r="F353" s="2011" t="s">
        <v>2384</v>
      </c>
      <c r="G353" s="2011" t="s">
        <v>2871</v>
      </c>
      <c r="H353" s="2011" t="s">
        <v>28</v>
      </c>
      <c r="I353" s="2011" t="s">
        <v>998</v>
      </c>
    </row>
    <row r="354" spans="1:9" ht="11.25" customHeight="1">
      <c r="A354" s="2011" t="s">
        <v>2344</v>
      </c>
      <c r="B354" s="2011" t="s">
        <v>16</v>
      </c>
      <c r="C354" s="2011" t="s">
        <v>2872</v>
      </c>
      <c r="D354" s="2011" t="s">
        <v>2873</v>
      </c>
      <c r="E354" s="2011" t="s">
        <v>2874</v>
      </c>
      <c r="F354" s="2011" t="s">
        <v>2384</v>
      </c>
      <c r="G354" s="2011" t="s">
        <v>2875</v>
      </c>
      <c r="H354" s="2011" t="s">
        <v>28</v>
      </c>
      <c r="I354" s="2011" t="s">
        <v>998</v>
      </c>
    </row>
    <row r="355" spans="1:9" ht="11.25" customHeight="1">
      <c r="A355" s="2011" t="s">
        <v>2344</v>
      </c>
      <c r="B355" s="2011" t="s">
        <v>16</v>
      </c>
      <c r="C355" s="2011" t="s">
        <v>2502</v>
      </c>
      <c r="D355" s="2011" t="s">
        <v>2503</v>
      </c>
      <c r="E355" s="2011" t="s">
        <v>2504</v>
      </c>
      <c r="F355" s="2011" t="s">
        <v>2505</v>
      </c>
      <c r="G355" s="2011" t="s">
        <v>28</v>
      </c>
      <c r="H355" s="2011" t="s">
        <v>28</v>
      </c>
      <c r="I355" s="2011" t="s">
        <v>998</v>
      </c>
    </row>
    <row r="356" spans="1:9" ht="11.25" customHeight="1">
      <c r="A356" s="2011" t="s">
        <v>2344</v>
      </c>
      <c r="B356" s="2011" t="s">
        <v>16</v>
      </c>
      <c r="C356" s="2011" t="s">
        <v>3099</v>
      </c>
      <c r="D356" s="2011" t="s">
        <v>3100</v>
      </c>
      <c r="E356" s="2011" t="s">
        <v>3101</v>
      </c>
      <c r="F356" s="2011" t="s">
        <v>2516</v>
      </c>
      <c r="G356" s="2011" t="s">
        <v>28</v>
      </c>
      <c r="H356" s="2011" t="s">
        <v>28</v>
      </c>
      <c r="I356" s="2011" t="s">
        <v>998</v>
      </c>
    </row>
    <row r="357" spans="1:9" ht="11.25" customHeight="1">
      <c r="A357" s="2011" t="s">
        <v>2344</v>
      </c>
      <c r="B357" s="2011" t="s">
        <v>16</v>
      </c>
      <c r="C357" s="2011" t="s">
        <v>2506</v>
      </c>
      <c r="D357" s="2011" t="s">
        <v>2507</v>
      </c>
      <c r="E357" s="2011" t="s">
        <v>2508</v>
      </c>
      <c r="F357" s="2011" t="s">
        <v>2509</v>
      </c>
      <c r="G357" s="2011" t="s">
        <v>28</v>
      </c>
      <c r="H357" s="2011" t="s">
        <v>28</v>
      </c>
      <c r="I357" s="2011" t="s">
        <v>998</v>
      </c>
    </row>
    <row r="358" spans="1:9" ht="11.25" customHeight="1">
      <c r="A358" s="2011" t="s">
        <v>2344</v>
      </c>
      <c r="B358" s="2011" t="s">
        <v>16</v>
      </c>
      <c r="C358" s="2011" t="s">
        <v>2510</v>
      </c>
      <c r="D358" s="2011" t="s">
        <v>2511</v>
      </c>
      <c r="E358" s="2011" t="s">
        <v>2512</v>
      </c>
      <c r="F358" s="2011" t="s">
        <v>2509</v>
      </c>
      <c r="G358" s="2011" t="s">
        <v>28</v>
      </c>
      <c r="H358" s="2011" t="s">
        <v>28</v>
      </c>
      <c r="I358" s="2011" t="s">
        <v>998</v>
      </c>
    </row>
    <row r="359" spans="1:9" ht="11.25" customHeight="1">
      <c r="A359" s="2011" t="s">
        <v>2344</v>
      </c>
      <c r="B359" s="2011" t="s">
        <v>16</v>
      </c>
      <c r="C359" s="2011" t="s">
        <v>2513</v>
      </c>
      <c r="D359" s="2011" t="s">
        <v>2514</v>
      </c>
      <c r="E359" s="2011" t="s">
        <v>2515</v>
      </c>
      <c r="F359" s="2011" t="s">
        <v>2516</v>
      </c>
      <c r="G359" s="2011" t="s">
        <v>28</v>
      </c>
      <c r="H359" s="2011" t="s">
        <v>28</v>
      </c>
      <c r="I359" s="2011" t="s">
        <v>998</v>
      </c>
    </row>
    <row r="360" spans="1:9" ht="11.25" customHeight="1">
      <c r="A360" s="2011" t="s">
        <v>2344</v>
      </c>
      <c r="B360" s="2011" t="s">
        <v>16</v>
      </c>
      <c r="C360" s="2011" t="s">
        <v>2876</v>
      </c>
      <c r="D360" s="2011" t="s">
        <v>2877</v>
      </c>
      <c r="E360" s="2011" t="s">
        <v>2878</v>
      </c>
      <c r="F360" s="2011" t="s">
        <v>2450</v>
      </c>
      <c r="G360" s="2011" t="s">
        <v>28</v>
      </c>
      <c r="H360" s="2011" t="s">
        <v>28</v>
      </c>
      <c r="I360" s="2011" t="s">
        <v>998</v>
      </c>
    </row>
    <row r="361" spans="1:9" ht="11.25" customHeight="1">
      <c r="A361" s="2011" t="s">
        <v>2344</v>
      </c>
      <c r="B361" s="2011" t="s">
        <v>16</v>
      </c>
      <c r="C361" s="2011" t="s">
        <v>2879</v>
      </c>
      <c r="D361" s="2011" t="s">
        <v>2880</v>
      </c>
      <c r="E361" s="2011" t="s">
        <v>2881</v>
      </c>
      <c r="F361" s="2011" t="s">
        <v>2413</v>
      </c>
      <c r="G361" s="2011" t="s">
        <v>2882</v>
      </c>
      <c r="H361" s="2011" t="s">
        <v>28</v>
      </c>
      <c r="I361" s="2011" t="s">
        <v>998</v>
      </c>
    </row>
    <row r="362" spans="1:9" ht="11.25" customHeight="1">
      <c r="A362" s="2011" t="s">
        <v>2344</v>
      </c>
      <c r="B362" s="2011" t="s">
        <v>16</v>
      </c>
      <c r="C362" s="2011" t="s">
        <v>2883</v>
      </c>
      <c r="D362" s="2011" t="s">
        <v>2884</v>
      </c>
      <c r="E362" s="2011" t="s">
        <v>2885</v>
      </c>
      <c r="F362" s="2011" t="s">
        <v>2471</v>
      </c>
      <c r="G362" s="2011" t="s">
        <v>2886</v>
      </c>
      <c r="H362" s="2011" t="s">
        <v>28</v>
      </c>
      <c r="I362" s="2011" t="s">
        <v>998</v>
      </c>
    </row>
    <row r="363" spans="1:9" ht="11.25" customHeight="1">
      <c r="A363" s="2011" t="s">
        <v>2344</v>
      </c>
      <c r="B363" s="2011" t="s">
        <v>16</v>
      </c>
      <c r="C363" s="2011" t="s">
        <v>2517</v>
      </c>
      <c r="D363" s="2011" t="s">
        <v>2518</v>
      </c>
      <c r="E363" s="2011" t="s">
        <v>2519</v>
      </c>
      <c r="F363" s="2011" t="s">
        <v>2384</v>
      </c>
      <c r="G363" s="2011" t="s">
        <v>28</v>
      </c>
      <c r="H363" s="2011" t="s">
        <v>28</v>
      </c>
      <c r="I363" s="2011" t="s">
        <v>998</v>
      </c>
    </row>
    <row r="364" spans="1:9" ht="11.25" customHeight="1">
      <c r="A364" s="2011" t="s">
        <v>2344</v>
      </c>
      <c r="B364" s="2011" t="s">
        <v>16</v>
      </c>
      <c r="C364" s="2011" t="s">
        <v>2887</v>
      </c>
      <c r="D364" s="2011" t="s">
        <v>2888</v>
      </c>
      <c r="E364" s="2011" t="s">
        <v>2889</v>
      </c>
      <c r="F364" s="2011" t="s">
        <v>2853</v>
      </c>
      <c r="G364" s="2011" t="s">
        <v>28</v>
      </c>
      <c r="H364" s="2011" t="s">
        <v>28</v>
      </c>
      <c r="I364" s="2011" t="s">
        <v>998</v>
      </c>
    </row>
    <row r="365" spans="1:9" ht="11.25" customHeight="1">
      <c r="A365" s="2011" t="s">
        <v>2344</v>
      </c>
      <c r="B365" s="2011" t="s">
        <v>16</v>
      </c>
      <c r="C365" s="2011" t="s">
        <v>2520</v>
      </c>
      <c r="D365" s="2011" t="s">
        <v>2521</v>
      </c>
      <c r="E365" s="2011" t="s">
        <v>2522</v>
      </c>
      <c r="F365" s="2011" t="s">
        <v>2505</v>
      </c>
      <c r="G365" s="2011" t="s">
        <v>28</v>
      </c>
      <c r="H365" s="2011" t="s">
        <v>28</v>
      </c>
      <c r="I365" s="2011" t="s">
        <v>998</v>
      </c>
    </row>
    <row r="366" spans="1:9" ht="11.25" customHeight="1">
      <c r="A366" s="2011" t="s">
        <v>2344</v>
      </c>
      <c r="B366" s="2011" t="s">
        <v>16</v>
      </c>
      <c r="C366" s="2011" t="s">
        <v>2890</v>
      </c>
      <c r="D366" s="2011" t="s">
        <v>2891</v>
      </c>
      <c r="E366" s="2011" t="s">
        <v>2892</v>
      </c>
      <c r="F366" s="2011" t="s">
        <v>2413</v>
      </c>
      <c r="G366" s="2011" t="s">
        <v>28</v>
      </c>
      <c r="H366" s="2011" t="s">
        <v>28</v>
      </c>
      <c r="I366" s="2011" t="s">
        <v>998</v>
      </c>
    </row>
    <row r="367" spans="1:9" ht="11.25" customHeight="1">
      <c r="A367" s="2011" t="s">
        <v>2344</v>
      </c>
      <c r="B367" s="2011" t="s">
        <v>16</v>
      </c>
      <c r="C367" s="2011" t="s">
        <v>2893</v>
      </c>
      <c r="D367" s="2011" t="s">
        <v>2894</v>
      </c>
      <c r="E367" s="2011" t="s">
        <v>2895</v>
      </c>
      <c r="F367" s="2011" t="s">
        <v>2769</v>
      </c>
      <c r="G367" s="2011" t="s">
        <v>28</v>
      </c>
      <c r="H367" s="2011" t="s">
        <v>28</v>
      </c>
      <c r="I367" s="2011" t="s">
        <v>998</v>
      </c>
    </row>
    <row r="368" spans="1:9" ht="11.25" customHeight="1">
      <c r="A368" s="2011" t="s">
        <v>2344</v>
      </c>
      <c r="B368" s="2011" t="s">
        <v>16</v>
      </c>
      <c r="C368" s="2011" t="s">
        <v>2896</v>
      </c>
      <c r="D368" s="2011" t="s">
        <v>2897</v>
      </c>
      <c r="E368" s="2011" t="s">
        <v>2898</v>
      </c>
      <c r="F368" s="2011" t="s">
        <v>2351</v>
      </c>
      <c r="G368" s="2011" t="s">
        <v>28</v>
      </c>
      <c r="H368" s="2011" t="s">
        <v>28</v>
      </c>
      <c r="I368" s="2011" t="s">
        <v>998</v>
      </c>
    </row>
    <row r="369" spans="1:9" ht="11.25" customHeight="1">
      <c r="A369" s="2011" t="s">
        <v>2344</v>
      </c>
      <c r="B369" s="2011" t="s">
        <v>16</v>
      </c>
      <c r="C369" s="2011" t="s">
        <v>2523</v>
      </c>
      <c r="D369" s="2011" t="s">
        <v>2524</v>
      </c>
      <c r="E369" s="2011" t="s">
        <v>2525</v>
      </c>
      <c r="F369" s="2011" t="s">
        <v>2526</v>
      </c>
      <c r="G369" s="2011" t="s">
        <v>28</v>
      </c>
      <c r="H369" s="2011" t="s">
        <v>28</v>
      </c>
      <c r="I369" s="2011" t="s">
        <v>998</v>
      </c>
    </row>
    <row r="370" spans="1:9" ht="11.25" customHeight="1">
      <c r="A370" s="2011" t="s">
        <v>2344</v>
      </c>
      <c r="B370" s="2011" t="s">
        <v>16</v>
      </c>
      <c r="C370" s="2011" t="s">
        <v>2899</v>
      </c>
      <c r="D370" s="2011" t="s">
        <v>2900</v>
      </c>
      <c r="E370" s="2011" t="s">
        <v>2901</v>
      </c>
      <c r="F370" s="2011" t="s">
        <v>2769</v>
      </c>
      <c r="G370" s="2011" t="s">
        <v>28</v>
      </c>
      <c r="H370" s="2011" t="s">
        <v>28</v>
      </c>
      <c r="I370" s="2011" t="s">
        <v>998</v>
      </c>
    </row>
    <row r="371" spans="1:9" ht="11.25" customHeight="1">
      <c r="A371" s="2011" t="s">
        <v>2344</v>
      </c>
      <c r="B371" s="2011" t="s">
        <v>16</v>
      </c>
      <c r="C371" s="2011" t="s">
        <v>2527</v>
      </c>
      <c r="D371" s="2011" t="s">
        <v>2528</v>
      </c>
      <c r="E371" s="2011" t="s">
        <v>2529</v>
      </c>
      <c r="F371" s="2011" t="s">
        <v>2489</v>
      </c>
      <c r="G371" s="2011" t="s">
        <v>28</v>
      </c>
      <c r="H371" s="2011" t="s">
        <v>28</v>
      </c>
      <c r="I371" s="2011" t="s">
        <v>998</v>
      </c>
    </row>
    <row r="372" spans="1:9" ht="11.25" customHeight="1">
      <c r="A372" s="2011" t="s">
        <v>2344</v>
      </c>
      <c r="B372" s="2011" t="s">
        <v>16</v>
      </c>
      <c r="C372" s="2011" t="s">
        <v>2537</v>
      </c>
      <c r="D372" s="2011" t="s">
        <v>2538</v>
      </c>
      <c r="E372" s="2011" t="s">
        <v>2539</v>
      </c>
      <c r="F372" s="2011" t="s">
        <v>2540</v>
      </c>
      <c r="G372" s="2011" t="s">
        <v>28</v>
      </c>
      <c r="H372" s="2011" t="s">
        <v>28</v>
      </c>
      <c r="I372" s="2011" t="s">
        <v>998</v>
      </c>
    </row>
    <row r="373" spans="1:9" ht="11.25" customHeight="1">
      <c r="A373" s="2011" t="s">
        <v>2344</v>
      </c>
      <c r="B373" s="2011" t="s">
        <v>16</v>
      </c>
      <c r="C373" s="2011" t="s">
        <v>3102</v>
      </c>
      <c r="D373" s="2011" t="s">
        <v>3103</v>
      </c>
      <c r="E373" s="2011" t="s">
        <v>3104</v>
      </c>
      <c r="F373" s="2011" t="s">
        <v>2405</v>
      </c>
      <c r="G373" s="2011" t="s">
        <v>28</v>
      </c>
      <c r="H373" s="2011" t="s">
        <v>28</v>
      </c>
      <c r="I373" s="2011" t="s">
        <v>998</v>
      </c>
    </row>
    <row r="374" spans="1:9" ht="11.25" customHeight="1">
      <c r="A374" s="2011" t="s">
        <v>2344</v>
      </c>
      <c r="B374" s="2011" t="s">
        <v>16</v>
      </c>
      <c r="C374" s="2011" t="s">
        <v>2560</v>
      </c>
      <c r="D374" s="2011" t="s">
        <v>2561</v>
      </c>
      <c r="E374" s="2011" t="s">
        <v>2562</v>
      </c>
      <c r="F374" s="2011" t="s">
        <v>2509</v>
      </c>
      <c r="G374" s="2011" t="s">
        <v>28</v>
      </c>
      <c r="H374" s="2011" t="s">
        <v>28</v>
      </c>
      <c r="I374" s="2011" t="s">
        <v>998</v>
      </c>
    </row>
    <row r="375" spans="1:9" ht="11.25" customHeight="1">
      <c r="A375" s="2011" t="s">
        <v>2344</v>
      </c>
      <c r="B375" s="2011" t="s">
        <v>16</v>
      </c>
      <c r="C375" s="2011" t="s">
        <v>2908</v>
      </c>
      <c r="D375" s="2011" t="s">
        <v>2909</v>
      </c>
      <c r="E375" s="2011" t="s">
        <v>2910</v>
      </c>
      <c r="F375" s="2011" t="s">
        <v>2384</v>
      </c>
      <c r="G375" s="2011" t="s">
        <v>2911</v>
      </c>
      <c r="H375" s="2011" t="s">
        <v>28</v>
      </c>
      <c r="I375" s="2011" t="s">
        <v>998</v>
      </c>
    </row>
    <row r="376" spans="1:9" ht="11.25" customHeight="1">
      <c r="A376" s="2011" t="s">
        <v>2344</v>
      </c>
      <c r="B376" s="2011" t="s">
        <v>16</v>
      </c>
      <c r="C376" s="2011" t="s">
        <v>2912</v>
      </c>
      <c r="D376" s="2011" t="s">
        <v>2913</v>
      </c>
      <c r="E376" s="2011" t="s">
        <v>2914</v>
      </c>
      <c r="F376" s="2011" t="s">
        <v>2396</v>
      </c>
      <c r="G376" s="2011" t="s">
        <v>2915</v>
      </c>
      <c r="H376" s="2011" t="s">
        <v>28</v>
      </c>
      <c r="I376" s="2011" t="s">
        <v>998</v>
      </c>
    </row>
    <row r="377" spans="1:9" ht="11.25" customHeight="1">
      <c r="A377" s="2011" t="s">
        <v>2344</v>
      </c>
      <c r="B377" s="2011" t="s">
        <v>16</v>
      </c>
      <c r="C377" s="2011" t="s">
        <v>2916</v>
      </c>
      <c r="D377" s="2011" t="s">
        <v>2917</v>
      </c>
      <c r="E377" s="2011" t="s">
        <v>2918</v>
      </c>
      <c r="F377" s="2011" t="s">
        <v>2666</v>
      </c>
      <c r="G377" s="2011" t="s">
        <v>2919</v>
      </c>
      <c r="H377" s="2011" t="s">
        <v>28</v>
      </c>
      <c r="I377" s="2011" t="s">
        <v>998</v>
      </c>
    </row>
    <row r="378" spans="1:9" ht="11.25" customHeight="1">
      <c r="A378" s="2011" t="s">
        <v>2344</v>
      </c>
      <c r="B378" s="2011" t="s">
        <v>16</v>
      </c>
      <c r="C378" s="2011" t="s">
        <v>2920</v>
      </c>
      <c r="D378" s="2011" t="s">
        <v>2921</v>
      </c>
      <c r="E378" s="2011" t="s">
        <v>2922</v>
      </c>
      <c r="F378" s="2011" t="s">
        <v>2923</v>
      </c>
      <c r="G378" s="2011" t="s">
        <v>28</v>
      </c>
      <c r="H378" s="2011" t="s">
        <v>28</v>
      </c>
      <c r="I378" s="2011" t="s">
        <v>998</v>
      </c>
    </row>
    <row r="379" spans="1:9" ht="11.25" customHeight="1">
      <c r="A379" s="2011" t="s">
        <v>2344</v>
      </c>
      <c r="B379" s="2011" t="s">
        <v>16</v>
      </c>
      <c r="C379" s="2011" t="s">
        <v>2928</v>
      </c>
      <c r="D379" s="2011" t="s">
        <v>2929</v>
      </c>
      <c r="E379" s="2011" t="s">
        <v>2930</v>
      </c>
      <c r="F379" s="2011" t="s">
        <v>2376</v>
      </c>
      <c r="G379" s="2011" t="s">
        <v>28</v>
      </c>
      <c r="H379" s="2011" t="s">
        <v>28</v>
      </c>
      <c r="I379" s="2011" t="s">
        <v>998</v>
      </c>
    </row>
    <row r="380" spans="1:9" ht="11.25" customHeight="1">
      <c r="A380" s="2011" t="s">
        <v>2344</v>
      </c>
      <c r="B380" s="2011" t="s">
        <v>16</v>
      </c>
      <c r="C380" s="2011" t="s">
        <v>2931</v>
      </c>
      <c r="D380" s="2011" t="s">
        <v>2932</v>
      </c>
      <c r="E380" s="2011" t="s">
        <v>2933</v>
      </c>
      <c r="F380" s="2011" t="s">
        <v>2934</v>
      </c>
      <c r="G380" s="2011" t="s">
        <v>28</v>
      </c>
      <c r="H380" s="2011" t="s">
        <v>28</v>
      </c>
      <c r="I380" s="2011" t="s">
        <v>998</v>
      </c>
    </row>
    <row r="381" spans="1:9" ht="11.25" customHeight="1">
      <c r="A381" s="2011" t="s">
        <v>2344</v>
      </c>
      <c r="B381" s="2011" t="s">
        <v>16</v>
      </c>
      <c r="C381" s="2011" t="s">
        <v>2935</v>
      </c>
      <c r="D381" s="2011" t="s">
        <v>2936</v>
      </c>
      <c r="E381" s="2011" t="s">
        <v>2937</v>
      </c>
      <c r="F381" s="2011" t="s">
        <v>2743</v>
      </c>
      <c r="G381" s="2011" t="s">
        <v>28</v>
      </c>
      <c r="H381" s="2011" t="s">
        <v>28</v>
      </c>
      <c r="I381" s="2011" t="s">
        <v>998</v>
      </c>
    </row>
    <row r="382" spans="1:9" ht="11.25" customHeight="1">
      <c r="A382" s="2011" t="s">
        <v>2344</v>
      </c>
      <c r="B382" s="2011" t="s">
        <v>16</v>
      </c>
      <c r="C382" s="2011" t="s">
        <v>3105</v>
      </c>
      <c r="D382" s="2011" t="s">
        <v>3106</v>
      </c>
      <c r="E382" s="2011" t="s">
        <v>3107</v>
      </c>
      <c r="F382" s="2011" t="s">
        <v>2355</v>
      </c>
      <c r="G382" s="2011" t="s">
        <v>2927</v>
      </c>
      <c r="H382" s="2011" t="s">
        <v>28</v>
      </c>
      <c r="I382" s="2011" t="s">
        <v>998</v>
      </c>
    </row>
    <row r="383" spans="1:9" ht="11.25" customHeight="1">
      <c r="A383" s="2011" t="s">
        <v>2344</v>
      </c>
      <c r="B383" s="2011" t="s">
        <v>16</v>
      </c>
      <c r="C383" s="2011" t="s">
        <v>3108</v>
      </c>
      <c r="D383" s="2011" t="s">
        <v>3106</v>
      </c>
      <c r="E383" s="2011" t="s">
        <v>3109</v>
      </c>
      <c r="F383" s="2011" t="s">
        <v>2769</v>
      </c>
      <c r="G383" s="2011" t="s">
        <v>2941</v>
      </c>
      <c r="H383" s="2011" t="s">
        <v>28</v>
      </c>
      <c r="I383" s="2011" t="s">
        <v>998</v>
      </c>
    </row>
    <row r="384" spans="1:9" ht="11.25" customHeight="1">
      <c r="A384" s="2011" t="s">
        <v>2344</v>
      </c>
      <c r="B384" s="2011" t="s">
        <v>16</v>
      </c>
      <c r="C384" s="2011" t="s">
        <v>2575</v>
      </c>
      <c r="D384" s="2011" t="s">
        <v>2576</v>
      </c>
      <c r="E384" s="2011" t="s">
        <v>2577</v>
      </c>
      <c r="F384" s="2011" t="s">
        <v>2578</v>
      </c>
      <c r="G384" s="2011" t="s">
        <v>2579</v>
      </c>
      <c r="H384" s="2011" t="s">
        <v>28</v>
      </c>
      <c r="I384" s="2011" t="s">
        <v>998</v>
      </c>
    </row>
    <row r="385" spans="1:9" ht="11.25" customHeight="1">
      <c r="A385" s="2011" t="s">
        <v>2344</v>
      </c>
      <c r="B385" s="2011" t="s">
        <v>16</v>
      </c>
      <c r="C385" s="2011" t="s">
        <v>2942</v>
      </c>
      <c r="D385" s="2011" t="s">
        <v>2943</v>
      </c>
      <c r="E385" s="2011" t="s">
        <v>2944</v>
      </c>
      <c r="F385" s="2011" t="s">
        <v>2384</v>
      </c>
      <c r="G385" s="2011" t="s">
        <v>28</v>
      </c>
      <c r="H385" s="2011" t="s">
        <v>28</v>
      </c>
      <c r="I385" s="2011" t="s">
        <v>998</v>
      </c>
    </row>
    <row r="386" spans="1:9" ht="11.25" customHeight="1">
      <c r="A386" s="2011" t="s">
        <v>2344</v>
      </c>
      <c r="B386" s="2011" t="s">
        <v>16</v>
      </c>
      <c r="C386" s="2011" t="s">
        <v>3110</v>
      </c>
      <c r="D386" s="2011" t="s">
        <v>3111</v>
      </c>
      <c r="E386" s="2011" t="s">
        <v>3112</v>
      </c>
      <c r="F386" s="2011" t="s">
        <v>2351</v>
      </c>
      <c r="G386" s="2011" t="s">
        <v>28</v>
      </c>
      <c r="H386" s="2011" t="s">
        <v>28</v>
      </c>
      <c r="I386" s="2011" t="s">
        <v>998</v>
      </c>
    </row>
    <row r="387" spans="1:9" ht="11.25" customHeight="1">
      <c r="A387" s="2011" t="s">
        <v>2344</v>
      </c>
      <c r="B387" s="2011" t="s">
        <v>16</v>
      </c>
      <c r="C387" s="2011" t="s">
        <v>2948</v>
      </c>
      <c r="D387" s="2011" t="s">
        <v>2949</v>
      </c>
      <c r="E387" s="2011" t="s">
        <v>2950</v>
      </c>
      <c r="F387" s="2011" t="s">
        <v>2347</v>
      </c>
      <c r="G387" s="2011" t="s">
        <v>28</v>
      </c>
      <c r="H387" s="2011" t="s">
        <v>28</v>
      </c>
      <c r="I387" s="2011" t="s">
        <v>998</v>
      </c>
    </row>
    <row r="388" spans="1:9" ht="11.25" customHeight="1">
      <c r="A388" s="2011" t="s">
        <v>2344</v>
      </c>
      <c r="B388" s="2011" t="s">
        <v>16</v>
      </c>
      <c r="C388" s="2011" t="s">
        <v>2951</v>
      </c>
      <c r="D388" s="2011" t="s">
        <v>2952</v>
      </c>
      <c r="E388" s="2011" t="s">
        <v>2953</v>
      </c>
      <c r="F388" s="2011" t="s">
        <v>2351</v>
      </c>
      <c r="G388" s="2011" t="s">
        <v>28</v>
      </c>
      <c r="H388" s="2011" t="s">
        <v>28</v>
      </c>
      <c r="I388" s="2011" t="s">
        <v>998</v>
      </c>
    </row>
    <row r="389" spans="1:9" ht="11.25" customHeight="1">
      <c r="A389" s="2011" t="s">
        <v>2344</v>
      </c>
      <c r="B389" s="2011" t="s">
        <v>16</v>
      </c>
      <c r="C389" s="2011" t="s">
        <v>2592</v>
      </c>
      <c r="D389" s="2011" t="s">
        <v>2593</v>
      </c>
      <c r="E389" s="2011" t="s">
        <v>2594</v>
      </c>
      <c r="F389" s="2011" t="s">
        <v>2578</v>
      </c>
      <c r="G389" s="2011" t="s">
        <v>28</v>
      </c>
      <c r="H389" s="2011" t="s">
        <v>28</v>
      </c>
      <c r="I389" s="2011" t="s">
        <v>998</v>
      </c>
    </row>
    <row r="390" spans="1:9" ht="11.25" customHeight="1">
      <c r="A390" s="2011" t="s">
        <v>2344</v>
      </c>
      <c r="B390" s="2011" t="s">
        <v>16</v>
      </c>
      <c r="C390" s="2011" t="s">
        <v>2598</v>
      </c>
      <c r="D390" s="2011" t="s">
        <v>2599</v>
      </c>
      <c r="E390" s="2011" t="s">
        <v>2600</v>
      </c>
      <c r="F390" s="2011" t="s">
        <v>2578</v>
      </c>
      <c r="G390" s="2011" t="s">
        <v>28</v>
      </c>
      <c r="H390" s="2011" t="s">
        <v>28</v>
      </c>
      <c r="I390" s="2011" t="s">
        <v>998</v>
      </c>
    </row>
    <row r="391" spans="1:9" ht="11.25" customHeight="1">
      <c r="A391" s="2011" t="s">
        <v>2344</v>
      </c>
      <c r="B391" s="2011" t="s">
        <v>16</v>
      </c>
      <c r="C391" s="2011" t="s">
        <v>2954</v>
      </c>
      <c r="D391" s="2011" t="s">
        <v>2955</v>
      </c>
      <c r="E391" s="2011" t="s">
        <v>2956</v>
      </c>
      <c r="F391" s="2011" t="s">
        <v>2578</v>
      </c>
      <c r="G391" s="2011" t="s">
        <v>28</v>
      </c>
      <c r="H391" s="2011" t="s">
        <v>28</v>
      </c>
      <c r="I391" s="2011" t="s">
        <v>998</v>
      </c>
    </row>
    <row r="392" spans="1:9" ht="11.25" customHeight="1">
      <c r="A392" s="2011" t="s">
        <v>2344</v>
      </c>
      <c r="B392" s="2011" t="s">
        <v>16</v>
      </c>
      <c r="C392" s="2011" t="s">
        <v>2957</v>
      </c>
      <c r="D392" s="2011" t="s">
        <v>2958</v>
      </c>
      <c r="E392" s="2011" t="s">
        <v>2959</v>
      </c>
      <c r="F392" s="2011" t="s">
        <v>2526</v>
      </c>
      <c r="G392" s="2011" t="s">
        <v>2960</v>
      </c>
      <c r="H392" s="2011" t="s">
        <v>28</v>
      </c>
      <c r="I392" s="2011" t="s">
        <v>998</v>
      </c>
    </row>
    <row r="393" spans="1:9" ht="11.25" customHeight="1">
      <c r="A393" s="2011" t="s">
        <v>2344</v>
      </c>
      <c r="B393" s="2011" t="s">
        <v>16</v>
      </c>
      <c r="C393" s="2011" t="s">
        <v>2961</v>
      </c>
      <c r="D393" s="2011" t="s">
        <v>2962</v>
      </c>
      <c r="E393" s="2011" t="s">
        <v>2963</v>
      </c>
      <c r="F393" s="2011" t="s">
        <v>2351</v>
      </c>
      <c r="G393" s="2011" t="s">
        <v>2964</v>
      </c>
      <c r="H393" s="2011" t="s">
        <v>28</v>
      </c>
      <c r="I393" s="2011" t="s">
        <v>998</v>
      </c>
    </row>
    <row r="394" spans="1:9" ht="11.25" customHeight="1">
      <c r="A394" s="2011" t="s">
        <v>2344</v>
      </c>
      <c r="B394" s="2011" t="s">
        <v>16</v>
      </c>
      <c r="C394" s="2011" t="s">
        <v>2965</v>
      </c>
      <c r="D394" s="2011" t="s">
        <v>2966</v>
      </c>
      <c r="E394" s="2011" t="s">
        <v>2967</v>
      </c>
      <c r="F394" s="2011" t="s">
        <v>2479</v>
      </c>
      <c r="G394" s="2011" t="s">
        <v>28</v>
      </c>
      <c r="H394" s="2011" t="s">
        <v>28</v>
      </c>
      <c r="I394" s="2011" t="s">
        <v>998</v>
      </c>
    </row>
    <row r="395" spans="1:9" ht="11.25" customHeight="1">
      <c r="A395" s="2011" t="s">
        <v>2344</v>
      </c>
      <c r="B395" s="2011" t="s">
        <v>16</v>
      </c>
      <c r="C395" s="2011" t="s">
        <v>2968</v>
      </c>
      <c r="D395" s="2011" t="s">
        <v>2969</v>
      </c>
      <c r="E395" s="2011" t="s">
        <v>2970</v>
      </c>
      <c r="F395" s="2011" t="s">
        <v>2769</v>
      </c>
      <c r="G395" s="2011" t="s">
        <v>2971</v>
      </c>
      <c r="H395" s="2011" t="s">
        <v>28</v>
      </c>
      <c r="I395" s="2011" t="s">
        <v>998</v>
      </c>
    </row>
    <row r="396" spans="1:9" ht="11.25" customHeight="1">
      <c r="A396" s="2011" t="s">
        <v>2344</v>
      </c>
      <c r="B396" s="2011" t="s">
        <v>16</v>
      </c>
      <c r="C396" s="2011" t="s">
        <v>2972</v>
      </c>
      <c r="D396" s="2011" t="s">
        <v>2973</v>
      </c>
      <c r="E396" s="2011" t="s">
        <v>2974</v>
      </c>
      <c r="F396" s="2011" t="s">
        <v>2405</v>
      </c>
      <c r="G396" s="2011" t="s">
        <v>2975</v>
      </c>
      <c r="H396" s="2011" t="s">
        <v>28</v>
      </c>
      <c r="I396" s="2011" t="s">
        <v>998</v>
      </c>
    </row>
    <row r="397" spans="1:9" ht="11.25" customHeight="1">
      <c r="A397" s="2011" t="s">
        <v>2344</v>
      </c>
      <c r="B397" s="2011" t="s">
        <v>16</v>
      </c>
      <c r="C397" s="2011" t="s">
        <v>3113</v>
      </c>
      <c r="D397" s="2011" t="s">
        <v>3114</v>
      </c>
      <c r="E397" s="2011" t="s">
        <v>3115</v>
      </c>
      <c r="F397" s="2011" t="s">
        <v>2347</v>
      </c>
      <c r="G397" s="2011" t="s">
        <v>28</v>
      </c>
      <c r="H397" s="2011" t="s">
        <v>28</v>
      </c>
      <c r="I397" s="2011" t="s">
        <v>998</v>
      </c>
    </row>
    <row r="398" spans="1:9" ht="11.25" customHeight="1">
      <c r="A398" s="2011" t="s">
        <v>2344</v>
      </c>
      <c r="B398" s="2011" t="s">
        <v>16</v>
      </c>
      <c r="C398" s="2011" t="s">
        <v>2610</v>
      </c>
      <c r="D398" s="2011" t="s">
        <v>2611</v>
      </c>
      <c r="E398" s="2011" t="s">
        <v>2612</v>
      </c>
      <c r="F398" s="2011" t="s">
        <v>2578</v>
      </c>
      <c r="G398" s="2011" t="s">
        <v>28</v>
      </c>
      <c r="H398" s="2011" t="s">
        <v>28</v>
      </c>
      <c r="I398" s="2011" t="s">
        <v>998</v>
      </c>
    </row>
    <row r="399" spans="1:9" ht="11.25" customHeight="1">
      <c r="A399" s="2011" t="s">
        <v>2344</v>
      </c>
      <c r="B399" s="2011" t="s">
        <v>16</v>
      </c>
      <c r="C399" s="2011" t="s">
        <v>2980</v>
      </c>
      <c r="D399" s="2011" t="s">
        <v>2981</v>
      </c>
      <c r="E399" s="2011" t="s">
        <v>2982</v>
      </c>
      <c r="F399" s="2011" t="s">
        <v>2526</v>
      </c>
      <c r="G399" s="2011" t="s">
        <v>28</v>
      </c>
      <c r="H399" s="2011" t="s">
        <v>28</v>
      </c>
      <c r="I399" s="2011" t="s">
        <v>998</v>
      </c>
    </row>
    <row r="400" spans="1:9" ht="11.25" customHeight="1">
      <c r="A400" s="2011" t="s">
        <v>2344</v>
      </c>
      <c r="B400" s="2011" t="s">
        <v>16</v>
      </c>
      <c r="C400" s="2011" t="s">
        <v>2623</v>
      </c>
      <c r="D400" s="2011" t="s">
        <v>2624</v>
      </c>
      <c r="E400" s="2011" t="s">
        <v>2625</v>
      </c>
      <c r="F400" s="2011" t="s">
        <v>2384</v>
      </c>
      <c r="G400" s="2011" t="s">
        <v>28</v>
      </c>
      <c r="H400" s="2011" t="s">
        <v>28</v>
      </c>
      <c r="I400" s="2011" t="s">
        <v>998</v>
      </c>
    </row>
    <row r="401" spans="1:9" ht="11.25" customHeight="1">
      <c r="A401" s="2011" t="s">
        <v>2344</v>
      </c>
      <c r="B401" s="2011" t="s">
        <v>16</v>
      </c>
      <c r="C401" s="2011" t="s">
        <v>2641</v>
      </c>
      <c r="D401" s="2011" t="s">
        <v>2642</v>
      </c>
      <c r="E401" s="2011" t="s">
        <v>2643</v>
      </c>
      <c r="F401" s="2011" t="s">
        <v>2547</v>
      </c>
      <c r="G401" s="2011" t="s">
        <v>2644</v>
      </c>
      <c r="H401" s="2011" t="s">
        <v>28</v>
      </c>
      <c r="I401" s="2011" t="s">
        <v>998</v>
      </c>
    </row>
    <row r="402" spans="1:9" ht="11.25" customHeight="1">
      <c r="A402" s="2011" t="s">
        <v>2344</v>
      </c>
      <c r="B402" s="2011" t="s">
        <v>16</v>
      </c>
      <c r="C402" s="2011" t="s">
        <v>2983</v>
      </c>
      <c r="D402" s="2011" t="s">
        <v>2984</v>
      </c>
      <c r="E402" s="2011" t="s">
        <v>2985</v>
      </c>
      <c r="F402" s="2011" t="s">
        <v>2533</v>
      </c>
      <c r="G402" s="2011" t="s">
        <v>28</v>
      </c>
      <c r="H402" s="2011" t="s">
        <v>28</v>
      </c>
      <c r="I402" s="2011" t="s">
        <v>998</v>
      </c>
    </row>
    <row r="403" spans="1:9" ht="11.25" customHeight="1">
      <c r="A403" s="2011" t="s">
        <v>2344</v>
      </c>
      <c r="B403" s="2011" t="s">
        <v>16</v>
      </c>
      <c r="C403" s="2011" t="s">
        <v>2986</v>
      </c>
      <c r="D403" s="2011" t="s">
        <v>2987</v>
      </c>
      <c r="E403" s="2011" t="s">
        <v>2988</v>
      </c>
      <c r="F403" s="2011" t="s">
        <v>2479</v>
      </c>
      <c r="G403" s="2011" t="s">
        <v>28</v>
      </c>
      <c r="H403" s="2011" t="s">
        <v>28</v>
      </c>
      <c r="I403" s="2011" t="s">
        <v>998</v>
      </c>
    </row>
    <row r="404" spans="1:9" ht="11.25" customHeight="1">
      <c r="A404" s="2011" t="s">
        <v>2344</v>
      </c>
      <c r="B404" s="2011" t="s">
        <v>16</v>
      </c>
      <c r="C404" s="2011" t="s">
        <v>2989</v>
      </c>
      <c r="D404" s="2011" t="s">
        <v>2990</v>
      </c>
      <c r="E404" s="2011" t="s">
        <v>2991</v>
      </c>
      <c r="F404" s="2011" t="s">
        <v>2992</v>
      </c>
      <c r="G404" s="2011" t="s">
        <v>28</v>
      </c>
      <c r="H404" s="2011" t="s">
        <v>28</v>
      </c>
      <c r="I404" s="2011" t="s">
        <v>998</v>
      </c>
    </row>
    <row r="405" spans="1:9" ht="11.25" customHeight="1">
      <c r="A405" s="2011" t="s">
        <v>2344</v>
      </c>
      <c r="B405" s="2011" t="s">
        <v>16</v>
      </c>
      <c r="C405" s="2011" t="s">
        <v>2993</v>
      </c>
      <c r="D405" s="2011" t="s">
        <v>2994</v>
      </c>
      <c r="E405" s="2011" t="s">
        <v>2995</v>
      </c>
      <c r="F405" s="2011" t="s">
        <v>2547</v>
      </c>
      <c r="G405" s="2011" t="s">
        <v>28</v>
      </c>
      <c r="H405" s="2011" t="s">
        <v>28</v>
      </c>
      <c r="I405" s="2011" t="s">
        <v>998</v>
      </c>
    </row>
    <row r="406" spans="1:9" ht="11.25" customHeight="1">
      <c r="A406" s="2011" t="s">
        <v>2344</v>
      </c>
      <c r="B406" s="2011" t="s">
        <v>16</v>
      </c>
      <c r="C406" s="2011" t="s">
        <v>2996</v>
      </c>
      <c r="D406" s="2011" t="s">
        <v>2997</v>
      </c>
      <c r="E406" s="2011" t="s">
        <v>2998</v>
      </c>
      <c r="F406" s="2011" t="s">
        <v>2376</v>
      </c>
      <c r="G406" s="2011" t="s">
        <v>28</v>
      </c>
      <c r="H406" s="2011" t="s">
        <v>28</v>
      </c>
      <c r="I406" s="2011" t="s">
        <v>998</v>
      </c>
    </row>
    <row r="407" spans="1:9" ht="11.25" customHeight="1">
      <c r="A407" s="2011" t="s">
        <v>2344</v>
      </c>
      <c r="B407" s="2011" t="s">
        <v>16</v>
      </c>
      <c r="C407" s="2011" t="s">
        <v>2660</v>
      </c>
      <c r="D407" s="2011" t="s">
        <v>2661</v>
      </c>
      <c r="E407" s="2011" t="s">
        <v>2662</v>
      </c>
      <c r="F407" s="2011" t="s">
        <v>2526</v>
      </c>
      <c r="G407" s="2011" t="s">
        <v>2406</v>
      </c>
      <c r="H407" s="2011" t="s">
        <v>28</v>
      </c>
      <c r="I407" s="2011" t="s">
        <v>998</v>
      </c>
    </row>
    <row r="408" spans="1:9" ht="11.25" customHeight="1">
      <c r="A408" s="2011" t="s">
        <v>2344</v>
      </c>
      <c r="B408" s="2011" t="s">
        <v>16</v>
      </c>
      <c r="C408" s="2011" t="s">
        <v>3116</v>
      </c>
      <c r="D408" s="2011" t="s">
        <v>3117</v>
      </c>
      <c r="E408" s="2011" t="s">
        <v>3118</v>
      </c>
      <c r="F408" s="2011" t="s">
        <v>2666</v>
      </c>
      <c r="G408" s="2011" t="s">
        <v>3119</v>
      </c>
      <c r="H408" s="2011" t="s">
        <v>28</v>
      </c>
      <c r="I408" s="2011" t="s">
        <v>998</v>
      </c>
    </row>
    <row r="409" spans="1:9" ht="11.25" customHeight="1">
      <c r="A409" s="2011" t="s">
        <v>2344</v>
      </c>
      <c r="B409" s="2011" t="s">
        <v>16</v>
      </c>
      <c r="C409" s="2011" t="s">
        <v>2999</v>
      </c>
      <c r="D409" s="2011" t="s">
        <v>3000</v>
      </c>
      <c r="E409" s="2011" t="s">
        <v>3001</v>
      </c>
      <c r="F409" s="2011" t="s">
        <v>2526</v>
      </c>
      <c r="G409" s="2011" t="s">
        <v>28</v>
      </c>
      <c r="H409" s="2011" t="s">
        <v>28</v>
      </c>
      <c r="I409" s="2011" t="s">
        <v>998</v>
      </c>
    </row>
    <row r="410" spans="1:9" ht="11.25" customHeight="1">
      <c r="A410" s="2011" t="s">
        <v>2344</v>
      </c>
      <c r="B410" s="2011" t="s">
        <v>16</v>
      </c>
      <c r="C410" s="2011" t="s">
        <v>2684</v>
      </c>
      <c r="D410" s="2011" t="s">
        <v>2685</v>
      </c>
      <c r="E410" s="2011" t="s">
        <v>2686</v>
      </c>
      <c r="F410" s="2011" t="s">
        <v>2687</v>
      </c>
      <c r="G410" s="2011" t="s">
        <v>28</v>
      </c>
      <c r="H410" s="2011" t="s">
        <v>28</v>
      </c>
      <c r="I410" s="2011" t="s">
        <v>998</v>
      </c>
    </row>
    <row r="411" spans="1:9" ht="11.25" customHeight="1">
      <c r="A411" s="2011" t="s">
        <v>2344</v>
      </c>
      <c r="B411" s="2011" t="s">
        <v>16</v>
      </c>
      <c r="C411" s="2011" t="s">
        <v>3005</v>
      </c>
      <c r="D411" s="2011" t="s">
        <v>3006</v>
      </c>
      <c r="E411" s="2011" t="s">
        <v>3007</v>
      </c>
      <c r="F411" s="2011" t="s">
        <v>2376</v>
      </c>
      <c r="G411" s="2011" t="s">
        <v>28</v>
      </c>
      <c r="H411" s="2011" t="s">
        <v>28</v>
      </c>
      <c r="I411" s="2011" t="s">
        <v>998</v>
      </c>
    </row>
    <row r="412" spans="1:9" ht="11.25" customHeight="1">
      <c r="A412" s="2011" t="s">
        <v>2344</v>
      </c>
      <c r="B412" s="2011" t="s">
        <v>16</v>
      </c>
      <c r="C412" s="2011" t="s">
        <v>3008</v>
      </c>
      <c r="D412" s="2011" t="s">
        <v>3009</v>
      </c>
      <c r="E412" s="2011" t="s">
        <v>3010</v>
      </c>
      <c r="F412" s="2011" t="s">
        <v>2578</v>
      </c>
      <c r="G412" s="2011" t="s">
        <v>28</v>
      </c>
      <c r="H412" s="2011" t="s">
        <v>28</v>
      </c>
      <c r="I412" s="2011" t="s">
        <v>998</v>
      </c>
    </row>
    <row r="413" spans="1:9" ht="11.25" customHeight="1">
      <c r="A413" s="2011" t="s">
        <v>2344</v>
      </c>
      <c r="B413" s="2011" t="s">
        <v>16</v>
      </c>
      <c r="C413" s="2011" t="s">
        <v>3017</v>
      </c>
      <c r="D413" s="2011" t="s">
        <v>3018</v>
      </c>
      <c r="E413" s="2011" t="s">
        <v>3019</v>
      </c>
      <c r="F413" s="2011" t="s">
        <v>2450</v>
      </c>
      <c r="G413" s="2011" t="s">
        <v>28</v>
      </c>
      <c r="H413" s="2011" t="s">
        <v>28</v>
      </c>
      <c r="I413" s="2011" t="s">
        <v>998</v>
      </c>
    </row>
    <row r="414" spans="1:9" ht="11.25" customHeight="1">
      <c r="A414" s="2011" t="s">
        <v>2344</v>
      </c>
      <c r="B414" s="2011" t="s">
        <v>16</v>
      </c>
      <c r="C414" s="2011" t="s">
        <v>3020</v>
      </c>
      <c r="D414" s="2011" t="s">
        <v>3021</v>
      </c>
      <c r="E414" s="2011" t="s">
        <v>3022</v>
      </c>
      <c r="F414" s="2011" t="s">
        <v>2347</v>
      </c>
      <c r="G414" s="2011" t="s">
        <v>28</v>
      </c>
      <c r="H414" s="2011" t="s">
        <v>28</v>
      </c>
      <c r="I414" s="2011" t="s">
        <v>998</v>
      </c>
    </row>
    <row r="415" spans="1:9" ht="11.25" customHeight="1">
      <c r="A415" s="2011" t="s">
        <v>2344</v>
      </c>
      <c r="B415" s="2011" t="s">
        <v>16</v>
      </c>
      <c r="C415" s="2011" t="s">
        <v>3026</v>
      </c>
      <c r="D415" s="2011" t="s">
        <v>3027</v>
      </c>
      <c r="E415" s="2011" t="s">
        <v>3028</v>
      </c>
      <c r="F415" s="2011" t="s">
        <v>2396</v>
      </c>
      <c r="G415" s="2011" t="s">
        <v>3029</v>
      </c>
      <c r="H415" s="2011" t="s">
        <v>28</v>
      </c>
      <c r="I415" s="2011" t="s">
        <v>998</v>
      </c>
    </row>
    <row r="416" spans="1:9" ht="11.25" customHeight="1">
      <c r="A416" s="2011" t="s">
        <v>2344</v>
      </c>
      <c r="B416" s="2011" t="s">
        <v>16</v>
      </c>
      <c r="C416" s="2011" t="s">
        <v>3030</v>
      </c>
      <c r="D416" s="2011" t="s">
        <v>3031</v>
      </c>
      <c r="E416" s="2011" t="s">
        <v>2346</v>
      </c>
      <c r="F416" s="2011" t="s">
        <v>2347</v>
      </c>
      <c r="G416" s="2011" t="s">
        <v>28</v>
      </c>
      <c r="H416" s="2011" t="s">
        <v>28</v>
      </c>
      <c r="I416" s="2011" t="s">
        <v>998</v>
      </c>
    </row>
    <row r="417" spans="1:9" ht="11.25" customHeight="1">
      <c r="A417" s="2011" t="s">
        <v>2344</v>
      </c>
      <c r="B417" s="2011" t="s">
        <v>16</v>
      </c>
      <c r="C417" s="2011" t="s">
        <v>3032</v>
      </c>
      <c r="D417" s="2011" t="s">
        <v>3033</v>
      </c>
      <c r="E417" s="2011" t="s">
        <v>3034</v>
      </c>
      <c r="F417" s="2011" t="s">
        <v>2351</v>
      </c>
      <c r="G417" s="2011" t="s">
        <v>28</v>
      </c>
      <c r="H417" s="2011" t="s">
        <v>28</v>
      </c>
      <c r="I417" s="2011" t="s">
        <v>998</v>
      </c>
    </row>
    <row r="418" spans="1:9" ht="11.25" customHeight="1">
      <c r="A418" s="2011" t="s">
        <v>2344</v>
      </c>
      <c r="B418" s="2011" t="s">
        <v>16</v>
      </c>
      <c r="C418" s="2011" t="s">
        <v>3035</v>
      </c>
      <c r="D418" s="2011" t="s">
        <v>3036</v>
      </c>
      <c r="E418" s="2011" t="s">
        <v>3037</v>
      </c>
      <c r="F418" s="2011" t="s">
        <v>2351</v>
      </c>
      <c r="G418" s="2011" t="s">
        <v>28</v>
      </c>
      <c r="H418" s="2011" t="s">
        <v>28</v>
      </c>
      <c r="I418" s="2011" t="s">
        <v>998</v>
      </c>
    </row>
    <row r="419" spans="1:9" ht="11.25" customHeight="1">
      <c r="A419" s="2011" t="s">
        <v>2344</v>
      </c>
      <c r="B419" s="2011" t="s">
        <v>16</v>
      </c>
      <c r="C419" s="2011" t="s">
        <v>2691</v>
      </c>
      <c r="D419" s="2011" t="s">
        <v>2692</v>
      </c>
      <c r="E419" s="2011" t="s">
        <v>2693</v>
      </c>
      <c r="F419" s="2011" t="s">
        <v>2359</v>
      </c>
      <c r="G419" s="2011" t="s">
        <v>28</v>
      </c>
      <c r="H419" s="2011" t="s">
        <v>28</v>
      </c>
      <c r="I419" s="2011" t="s">
        <v>998</v>
      </c>
    </row>
    <row r="420" spans="1:9" ht="11.25" customHeight="1">
      <c r="A420" s="2011" t="s">
        <v>2344</v>
      </c>
      <c r="B420" s="2011" t="s">
        <v>16</v>
      </c>
      <c r="C420" s="2011" t="s">
        <v>2702</v>
      </c>
      <c r="D420" s="2011" t="s">
        <v>2703</v>
      </c>
      <c r="E420" s="2011" t="s">
        <v>2704</v>
      </c>
      <c r="F420" s="2011" t="s">
        <v>2673</v>
      </c>
      <c r="G420" s="2011" t="s">
        <v>2705</v>
      </c>
      <c r="H420" s="2011" t="s">
        <v>28</v>
      </c>
      <c r="I420" s="2011" t="s">
        <v>998</v>
      </c>
    </row>
    <row r="421" spans="1:9" ht="11.25" customHeight="1">
      <c r="A421" s="2011" t="s">
        <v>2344</v>
      </c>
      <c r="B421" s="2011" t="s">
        <v>16</v>
      </c>
      <c r="C421" s="2011" t="s">
        <v>2706</v>
      </c>
      <c r="D421" s="2011" t="s">
        <v>2707</v>
      </c>
      <c r="E421" s="2011" t="s">
        <v>2708</v>
      </c>
      <c r="F421" s="2011" t="s">
        <v>2396</v>
      </c>
      <c r="G421" s="2011" t="s">
        <v>2709</v>
      </c>
      <c r="H421" s="2011" t="s">
        <v>28</v>
      </c>
      <c r="I421" s="2011" t="s">
        <v>998</v>
      </c>
    </row>
    <row r="422" spans="1:9" ht="11.25" customHeight="1">
      <c r="A422" s="2011" t="s">
        <v>2344</v>
      </c>
      <c r="B422" s="2011" t="s">
        <v>16</v>
      </c>
      <c r="C422" s="2011" t="s">
        <v>3044</v>
      </c>
      <c r="D422" s="2011" t="s">
        <v>3045</v>
      </c>
      <c r="E422" s="2011" t="s">
        <v>3046</v>
      </c>
      <c r="F422" s="2011" t="s">
        <v>3047</v>
      </c>
      <c r="G422" s="2011" t="s">
        <v>28</v>
      </c>
      <c r="H422" s="2011" t="s">
        <v>28</v>
      </c>
      <c r="I422" s="2011" t="s">
        <v>998</v>
      </c>
    </row>
    <row r="423" spans="1:9" ht="11.25" customHeight="1">
      <c r="A423" s="2011" t="s">
        <v>2344</v>
      </c>
      <c r="B423" s="2011" t="s">
        <v>16</v>
      </c>
      <c r="C423" s="2011" t="s">
        <v>3048</v>
      </c>
      <c r="D423" s="2011" t="s">
        <v>3049</v>
      </c>
      <c r="E423" s="2011" t="s">
        <v>3050</v>
      </c>
      <c r="F423" s="2011" t="s">
        <v>2479</v>
      </c>
      <c r="G423" s="2011" t="s">
        <v>28</v>
      </c>
      <c r="H423" s="2011" t="s">
        <v>28</v>
      </c>
      <c r="I423" s="2011" t="s">
        <v>998</v>
      </c>
    </row>
    <row r="424" spans="1:9" ht="11.25" customHeight="1">
      <c r="A424" s="2011" t="s">
        <v>2344</v>
      </c>
      <c r="B424" s="2011" t="s">
        <v>16</v>
      </c>
      <c r="C424" s="2011" t="s">
        <v>2720</v>
      </c>
      <c r="D424" s="2011" t="s">
        <v>2721</v>
      </c>
      <c r="E424" s="2011" t="s">
        <v>2722</v>
      </c>
      <c r="F424" s="2011" t="s">
        <v>2547</v>
      </c>
      <c r="G424" s="2011" t="s">
        <v>28</v>
      </c>
      <c r="H424" s="2011" t="s">
        <v>28</v>
      </c>
      <c r="I424" s="2011" t="s">
        <v>998</v>
      </c>
    </row>
    <row r="425" spans="1:9" ht="11.25" customHeight="1">
      <c r="A425" s="2011" t="s">
        <v>2344</v>
      </c>
      <c r="B425" s="2011" t="s">
        <v>16</v>
      </c>
      <c r="C425" s="2011" t="s">
        <v>2723</v>
      </c>
      <c r="D425" s="2011" t="s">
        <v>2724</v>
      </c>
      <c r="E425" s="2011" t="s">
        <v>2725</v>
      </c>
      <c r="F425" s="2011" t="s">
        <v>2726</v>
      </c>
      <c r="G425" s="2011" t="s">
        <v>2727</v>
      </c>
      <c r="H425" s="2011" t="s">
        <v>28</v>
      </c>
      <c r="I425" s="2011" t="s">
        <v>998</v>
      </c>
    </row>
    <row r="426" spans="1:9" ht="11.25" customHeight="1">
      <c r="A426" s="2011" t="s">
        <v>2344</v>
      </c>
      <c r="B426" s="2011" t="s">
        <v>16</v>
      </c>
      <c r="C426" s="2011" t="s">
        <v>2728</v>
      </c>
      <c r="D426" s="2011" t="s">
        <v>2729</v>
      </c>
      <c r="E426" s="2011" t="s">
        <v>2730</v>
      </c>
      <c r="F426" s="2011" t="s">
        <v>2547</v>
      </c>
      <c r="G426" s="2011" t="s">
        <v>28</v>
      </c>
      <c r="H426" s="2011" t="s">
        <v>28</v>
      </c>
      <c r="I426" s="2011" t="s">
        <v>998</v>
      </c>
    </row>
    <row r="427" spans="1:9" ht="11.25" customHeight="1">
      <c r="A427" s="2011" t="s">
        <v>2344</v>
      </c>
      <c r="B427" s="2011" t="s">
        <v>16</v>
      </c>
      <c r="C427" s="2011" t="s">
        <v>2734</v>
      </c>
      <c r="D427" s="2011" t="s">
        <v>2735</v>
      </c>
      <c r="E427" s="2011" t="s">
        <v>2736</v>
      </c>
      <c r="F427" s="2011" t="s">
        <v>2479</v>
      </c>
      <c r="G427" s="2011" t="s">
        <v>28</v>
      </c>
      <c r="H427" s="2011" t="s">
        <v>28</v>
      </c>
      <c r="I427" s="2011" t="s">
        <v>998</v>
      </c>
    </row>
    <row r="428" spans="1:9" ht="11.25" customHeight="1">
      <c r="A428" s="2011" t="s">
        <v>2344</v>
      </c>
      <c r="B428" s="2011" t="s">
        <v>16</v>
      </c>
      <c r="C428" s="2011" t="s">
        <v>3051</v>
      </c>
      <c r="D428" s="2011" t="s">
        <v>3052</v>
      </c>
      <c r="E428" s="2011" t="s">
        <v>3053</v>
      </c>
      <c r="F428" s="2011" t="s">
        <v>2864</v>
      </c>
      <c r="G428" s="2011" t="s">
        <v>28</v>
      </c>
      <c r="H428" s="2011" t="s">
        <v>28</v>
      </c>
      <c r="I428" s="2011" t="s">
        <v>998</v>
      </c>
    </row>
    <row r="429" spans="1:9" ht="11.25" customHeight="1">
      <c r="A429" s="2011" t="s">
        <v>2344</v>
      </c>
      <c r="B429" s="2011" t="s">
        <v>16</v>
      </c>
      <c r="C429" s="2011" t="s">
        <v>3054</v>
      </c>
      <c r="D429" s="2011" t="s">
        <v>3055</v>
      </c>
      <c r="E429" s="2011" t="s">
        <v>3056</v>
      </c>
      <c r="F429" s="2011" t="s">
        <v>2864</v>
      </c>
      <c r="G429" s="2011" t="s">
        <v>28</v>
      </c>
      <c r="H429" s="2011" t="s">
        <v>28</v>
      </c>
      <c r="I429" s="2011" t="s">
        <v>998</v>
      </c>
    </row>
    <row r="430" spans="1:9" ht="11.25" customHeight="1">
      <c r="A430" s="2011" t="s">
        <v>2344</v>
      </c>
      <c r="B430" s="2011" t="s">
        <v>16</v>
      </c>
      <c r="C430" s="2011" t="s">
        <v>3057</v>
      </c>
      <c r="D430" s="2011" t="s">
        <v>3058</v>
      </c>
      <c r="E430" s="2011" t="s">
        <v>3059</v>
      </c>
      <c r="F430" s="2011" t="s">
        <v>2376</v>
      </c>
      <c r="G430" s="2011" t="s">
        <v>28</v>
      </c>
      <c r="H430" s="2011" t="s">
        <v>28</v>
      </c>
      <c r="I430" s="2011" t="s">
        <v>998</v>
      </c>
    </row>
    <row r="431" spans="1:9" ht="11.25" customHeight="1">
      <c r="A431" s="2011" t="s">
        <v>2344</v>
      </c>
      <c r="B431" s="2011" t="s">
        <v>16</v>
      </c>
      <c r="C431" s="2011" t="s">
        <v>2737</v>
      </c>
      <c r="D431" s="2011" t="s">
        <v>2738</v>
      </c>
      <c r="E431" s="2011" t="s">
        <v>2739</v>
      </c>
      <c r="F431" s="2011" t="s">
        <v>2355</v>
      </c>
      <c r="G431" s="2011" t="s">
        <v>28</v>
      </c>
      <c r="H431" s="2011" t="s">
        <v>28</v>
      </c>
      <c r="I431" s="2011" t="s">
        <v>998</v>
      </c>
    </row>
    <row r="432" spans="1:9" ht="11.25" customHeight="1">
      <c r="A432" s="2011" t="s">
        <v>2344</v>
      </c>
      <c r="B432" s="2011" t="s">
        <v>16</v>
      </c>
      <c r="C432" s="2011" t="s">
        <v>2740</v>
      </c>
      <c r="D432" s="2011" t="s">
        <v>2741</v>
      </c>
      <c r="E432" s="2011" t="s">
        <v>2742</v>
      </c>
      <c r="F432" s="2011" t="s">
        <v>2743</v>
      </c>
      <c r="G432" s="2011" t="s">
        <v>28</v>
      </c>
      <c r="H432" s="2011" t="s">
        <v>28</v>
      </c>
      <c r="I432" s="2011" t="s">
        <v>998</v>
      </c>
    </row>
    <row r="433" spans="1:9" ht="11.25" customHeight="1">
      <c r="A433" s="2011" t="s">
        <v>2344</v>
      </c>
      <c r="B433" s="2011" t="s">
        <v>16</v>
      </c>
      <c r="C433" s="2011" t="s">
        <v>3069</v>
      </c>
      <c r="D433" s="2011" t="s">
        <v>3070</v>
      </c>
      <c r="E433" s="2011" t="s">
        <v>3071</v>
      </c>
      <c r="F433" s="2011" t="s">
        <v>2923</v>
      </c>
      <c r="G433" s="2011" t="s">
        <v>3072</v>
      </c>
      <c r="H433" s="2011" t="s">
        <v>28</v>
      </c>
      <c r="I433" s="2011" t="s">
        <v>998</v>
      </c>
    </row>
    <row r="434" spans="1:9" ht="11.25" customHeight="1">
      <c r="A434" s="2011" t="s">
        <v>2344</v>
      </c>
      <c r="B434" s="2011" t="s">
        <v>16</v>
      </c>
      <c r="C434" s="2011" t="s">
        <v>3073</v>
      </c>
      <c r="D434" s="2011" t="s">
        <v>3074</v>
      </c>
      <c r="E434" s="2011" t="s">
        <v>3075</v>
      </c>
      <c r="F434" s="2011" t="s">
        <v>2450</v>
      </c>
      <c r="G434" s="2011" t="s">
        <v>28</v>
      </c>
      <c r="H434" s="2011" t="s">
        <v>28</v>
      </c>
      <c r="I434" s="2011" t="s">
        <v>998</v>
      </c>
    </row>
    <row r="435" spans="1:9" ht="11.25" customHeight="1">
      <c r="A435" s="2011" t="s">
        <v>2344</v>
      </c>
      <c r="B435" s="2011" t="s">
        <v>16</v>
      </c>
      <c r="C435" s="2011" t="s">
        <v>3076</v>
      </c>
      <c r="D435" s="2011" t="s">
        <v>3077</v>
      </c>
      <c r="E435" s="2011" t="s">
        <v>3078</v>
      </c>
      <c r="F435" s="2011" t="s">
        <v>2471</v>
      </c>
      <c r="G435" s="2011" t="s">
        <v>28</v>
      </c>
      <c r="H435" s="2011" t="s">
        <v>28</v>
      </c>
      <c r="I435" s="2011" t="s">
        <v>998</v>
      </c>
    </row>
    <row r="436" spans="1:9" ht="11.25" customHeight="1">
      <c r="A436" s="2011" t="s">
        <v>2344</v>
      </c>
      <c r="B436" s="2011" t="s">
        <v>16</v>
      </c>
      <c r="C436" s="2011" t="s">
        <v>3085</v>
      </c>
      <c r="D436" s="2011" t="s">
        <v>3086</v>
      </c>
      <c r="E436" s="2011" t="s">
        <v>3087</v>
      </c>
      <c r="F436" s="2011" t="s">
        <v>2864</v>
      </c>
      <c r="G436" s="2011" t="s">
        <v>3088</v>
      </c>
      <c r="H436" s="2011" t="s">
        <v>28</v>
      </c>
      <c r="I436" s="2011" t="s">
        <v>998</v>
      </c>
    </row>
    <row r="437" spans="1:9" ht="11.25" customHeight="1">
      <c r="A437" s="2011" t="s">
        <v>2344</v>
      </c>
      <c r="B437" s="2011" t="s">
        <v>16</v>
      </c>
      <c r="C437" s="2011" t="s">
        <v>3089</v>
      </c>
      <c r="D437" s="2011" t="s">
        <v>3090</v>
      </c>
      <c r="E437" s="2011" t="s">
        <v>3091</v>
      </c>
      <c r="F437" s="2011" t="s">
        <v>2405</v>
      </c>
      <c r="G437" s="2011" t="s">
        <v>28</v>
      </c>
      <c r="H437" s="2011" t="s">
        <v>28</v>
      </c>
      <c r="I437" s="2011" t="s">
        <v>998</v>
      </c>
    </row>
    <row r="438" spans="1:9" ht="11.25" customHeight="1">
      <c r="A438" s="2011" t="s">
        <v>2344</v>
      </c>
      <c r="B438" s="2011" t="s">
        <v>16</v>
      </c>
      <c r="C438" s="2011" t="s">
        <v>2770</v>
      </c>
      <c r="D438" s="2011" t="s">
        <v>2771</v>
      </c>
      <c r="E438" s="2011" t="s">
        <v>2772</v>
      </c>
      <c r="F438" s="2011" t="s">
        <v>2376</v>
      </c>
      <c r="G438" s="2011" t="s">
        <v>28</v>
      </c>
      <c r="H438" s="2011" t="s">
        <v>28</v>
      </c>
      <c r="I438" s="2011" t="s">
        <v>998</v>
      </c>
    </row>
    <row r="439" spans="1:9" ht="11.25" customHeight="1">
      <c r="A439" s="2011" t="s">
        <v>2344</v>
      </c>
      <c r="B439" s="2011" t="s">
        <v>16</v>
      </c>
      <c r="C439" s="2011" t="s">
        <v>28</v>
      </c>
      <c r="D439" s="2011" t="s">
        <v>2345</v>
      </c>
      <c r="E439" s="2011" t="s">
        <v>2346</v>
      </c>
      <c r="F439" s="2011" t="s">
        <v>2347</v>
      </c>
      <c r="G439" s="2011" t="s">
        <v>28</v>
      </c>
      <c r="H439" s="2011" t="s">
        <v>28</v>
      </c>
      <c r="I439" s="2011" t="s">
        <v>1716</v>
      </c>
    </row>
    <row r="440" spans="1:9" ht="11.25" customHeight="1">
      <c r="A440" s="2011" t="s">
        <v>2344</v>
      </c>
      <c r="B440" s="2011" t="s">
        <v>16</v>
      </c>
      <c r="C440" s="2011" t="s">
        <v>3120</v>
      </c>
      <c r="D440" s="2011" t="s">
        <v>3121</v>
      </c>
      <c r="E440" s="2011" t="s">
        <v>3122</v>
      </c>
      <c r="F440" s="2011" t="s">
        <v>667</v>
      </c>
      <c r="G440" s="2011" t="s">
        <v>3123</v>
      </c>
      <c r="H440" s="2011" t="s">
        <v>28</v>
      </c>
      <c r="I440" s="2011" t="s">
        <v>1716</v>
      </c>
    </row>
    <row r="441" spans="1:9" ht="11.25" customHeight="1">
      <c r="A441" s="2011" t="s">
        <v>2344</v>
      </c>
      <c r="B441" s="2011" t="s">
        <v>16</v>
      </c>
      <c r="C441" s="2011" t="s">
        <v>2486</v>
      </c>
      <c r="D441" s="2011" t="s">
        <v>2487</v>
      </c>
      <c r="E441" s="2011" t="s">
        <v>2488</v>
      </c>
      <c r="F441" s="2011" t="s">
        <v>2489</v>
      </c>
      <c r="G441" s="2011" t="s">
        <v>28</v>
      </c>
      <c r="H441" s="2011" t="s">
        <v>28</v>
      </c>
      <c r="I441" s="2011" t="s">
        <v>1716</v>
      </c>
    </row>
    <row r="442" spans="1:9" ht="11.25" customHeight="1">
      <c r="A442" s="2011" t="s">
        <v>2344</v>
      </c>
      <c r="B442" s="2011" t="s">
        <v>16</v>
      </c>
      <c r="C442" s="2011" t="s">
        <v>2838</v>
      </c>
      <c r="D442" s="2011" t="s">
        <v>2839</v>
      </c>
      <c r="E442" s="2011" t="s">
        <v>2840</v>
      </c>
      <c r="F442" s="2011" t="s">
        <v>2578</v>
      </c>
      <c r="G442" s="2011" t="s">
        <v>28</v>
      </c>
      <c r="H442" s="2011" t="s">
        <v>28</v>
      </c>
      <c r="I442" s="2011" t="s">
        <v>1716</v>
      </c>
    </row>
    <row r="443" spans="1:9" ht="11.25" customHeight="1">
      <c r="A443" s="2011" t="s">
        <v>2344</v>
      </c>
      <c r="B443" s="2011" t="s">
        <v>16</v>
      </c>
      <c r="C443" s="2011" t="s">
        <v>3124</v>
      </c>
      <c r="D443" s="2011" t="s">
        <v>3125</v>
      </c>
      <c r="E443" s="2011" t="s">
        <v>3126</v>
      </c>
      <c r="F443" s="2011" t="s">
        <v>2591</v>
      </c>
      <c r="G443" s="2011" t="s">
        <v>3127</v>
      </c>
      <c r="H443" s="2011" t="s">
        <v>28</v>
      </c>
      <c r="I443" s="2011" t="s">
        <v>1716</v>
      </c>
    </row>
    <row r="444" spans="1:9" ht="11.25" customHeight="1">
      <c r="A444" s="2011" t="s">
        <v>2344</v>
      </c>
      <c r="B444" s="2011" t="s">
        <v>16</v>
      </c>
      <c r="C444" s="2011" t="s">
        <v>2499</v>
      </c>
      <c r="D444" s="2011" t="s">
        <v>2500</v>
      </c>
      <c r="E444" s="2011" t="s">
        <v>2501</v>
      </c>
      <c r="F444" s="2011" t="s">
        <v>2376</v>
      </c>
      <c r="G444" s="2011" t="s">
        <v>28</v>
      </c>
      <c r="H444" s="2011" t="s">
        <v>28</v>
      </c>
      <c r="I444" s="2011" t="s">
        <v>1716</v>
      </c>
    </row>
    <row r="445" spans="1:9" ht="11.25" customHeight="1">
      <c r="A445" s="2011" t="s">
        <v>2344</v>
      </c>
      <c r="B445" s="2011" t="s">
        <v>16</v>
      </c>
      <c r="C445" s="2011" t="s">
        <v>3128</v>
      </c>
      <c r="D445" s="2011" t="s">
        <v>3129</v>
      </c>
      <c r="E445" s="2011" t="s">
        <v>3130</v>
      </c>
      <c r="F445" s="2011" t="s">
        <v>2471</v>
      </c>
      <c r="G445" s="2011" t="s">
        <v>28</v>
      </c>
      <c r="H445" s="2011" t="s">
        <v>28</v>
      </c>
      <c r="I445" s="2011" t="s">
        <v>1716</v>
      </c>
    </row>
    <row r="446" spans="1:9" ht="11.25" customHeight="1">
      <c r="A446" s="2011" t="s">
        <v>2344</v>
      </c>
      <c r="B446" s="2011" t="s">
        <v>16</v>
      </c>
      <c r="C446" s="2011" t="s">
        <v>2506</v>
      </c>
      <c r="D446" s="2011" t="s">
        <v>2507</v>
      </c>
      <c r="E446" s="2011" t="s">
        <v>2508</v>
      </c>
      <c r="F446" s="2011" t="s">
        <v>2509</v>
      </c>
      <c r="G446" s="2011" t="s">
        <v>28</v>
      </c>
      <c r="H446" s="2011" t="s">
        <v>28</v>
      </c>
      <c r="I446" s="2011" t="s">
        <v>1716</v>
      </c>
    </row>
    <row r="447" spans="1:9" ht="11.25" customHeight="1">
      <c r="A447" s="2011" t="s">
        <v>2344</v>
      </c>
      <c r="B447" s="2011" t="s">
        <v>16</v>
      </c>
      <c r="C447" s="2011" t="s">
        <v>2510</v>
      </c>
      <c r="D447" s="2011" t="s">
        <v>2511</v>
      </c>
      <c r="E447" s="2011" t="s">
        <v>2512</v>
      </c>
      <c r="F447" s="2011" t="s">
        <v>2509</v>
      </c>
      <c r="G447" s="2011" t="s">
        <v>28</v>
      </c>
      <c r="H447" s="2011" t="s">
        <v>28</v>
      </c>
      <c r="I447" s="2011" t="s">
        <v>1716</v>
      </c>
    </row>
    <row r="448" spans="1:9" ht="11.25" customHeight="1">
      <c r="A448" s="2011" t="s">
        <v>2344</v>
      </c>
      <c r="B448" s="2011" t="s">
        <v>16</v>
      </c>
      <c r="C448" s="2011" t="s">
        <v>3131</v>
      </c>
      <c r="D448" s="2011" t="s">
        <v>3132</v>
      </c>
      <c r="E448" s="2011" t="s">
        <v>3133</v>
      </c>
      <c r="F448" s="2011" t="s">
        <v>2516</v>
      </c>
      <c r="G448" s="2011" t="s">
        <v>3134</v>
      </c>
      <c r="H448" s="2011" t="s">
        <v>28</v>
      </c>
      <c r="I448" s="2011" t="s">
        <v>1716</v>
      </c>
    </row>
    <row r="449" spans="1:9" ht="11.25" customHeight="1">
      <c r="A449" s="2011" t="s">
        <v>2344</v>
      </c>
      <c r="B449" s="2011" t="s">
        <v>16</v>
      </c>
      <c r="C449" s="2011" t="s">
        <v>3135</v>
      </c>
      <c r="D449" s="2011" t="s">
        <v>3136</v>
      </c>
      <c r="E449" s="2011" t="s">
        <v>3137</v>
      </c>
      <c r="F449" s="2011" t="s">
        <v>2498</v>
      </c>
      <c r="G449" s="2011" t="s">
        <v>28</v>
      </c>
      <c r="H449" s="2011" t="s">
        <v>28</v>
      </c>
      <c r="I449" s="2011" t="s">
        <v>1716</v>
      </c>
    </row>
    <row r="450" spans="1:9" ht="11.25" customHeight="1">
      <c r="A450" s="2011" t="s">
        <v>2344</v>
      </c>
      <c r="B450" s="2011" t="s">
        <v>16</v>
      </c>
      <c r="C450" s="2011" t="s">
        <v>3138</v>
      </c>
      <c r="D450" s="2011" t="s">
        <v>3139</v>
      </c>
      <c r="E450" s="2011" t="s">
        <v>3140</v>
      </c>
      <c r="F450" s="2011" t="s">
        <v>2384</v>
      </c>
      <c r="G450" s="2011" t="s">
        <v>28</v>
      </c>
      <c r="H450" s="2011" t="s">
        <v>28</v>
      </c>
      <c r="I450" s="2011" t="s">
        <v>1716</v>
      </c>
    </row>
    <row r="451" spans="1:9" ht="11.25" customHeight="1">
      <c r="A451" s="2011" t="s">
        <v>2344</v>
      </c>
      <c r="B451" s="2011" t="s">
        <v>16</v>
      </c>
      <c r="C451" s="2011" t="s">
        <v>3141</v>
      </c>
      <c r="D451" s="2011" t="s">
        <v>3142</v>
      </c>
      <c r="E451" s="2011" t="s">
        <v>3143</v>
      </c>
      <c r="F451" s="2011" t="s">
        <v>2347</v>
      </c>
      <c r="G451" s="2011" t="s">
        <v>3144</v>
      </c>
      <c r="H451" s="2011" t="s">
        <v>28</v>
      </c>
      <c r="I451" s="2011" t="s">
        <v>1716</v>
      </c>
    </row>
    <row r="452" spans="1:9" ht="11.25" customHeight="1">
      <c r="A452" s="2011" t="s">
        <v>2344</v>
      </c>
      <c r="B452" s="2011" t="s">
        <v>16</v>
      </c>
      <c r="C452" s="2011" t="s">
        <v>3145</v>
      </c>
      <c r="D452" s="2011" t="s">
        <v>3146</v>
      </c>
      <c r="E452" s="2011" t="s">
        <v>3147</v>
      </c>
      <c r="F452" s="2011" t="s">
        <v>2540</v>
      </c>
      <c r="G452" s="2011" t="s">
        <v>3148</v>
      </c>
      <c r="H452" s="2011" t="s">
        <v>28</v>
      </c>
      <c r="I452" s="2011" t="s">
        <v>1716</v>
      </c>
    </row>
    <row r="453" spans="1:9" ht="11.25" customHeight="1">
      <c r="A453" s="2011" t="s">
        <v>2344</v>
      </c>
      <c r="B453" s="2011" t="s">
        <v>16</v>
      </c>
      <c r="C453" s="2011" t="s">
        <v>3149</v>
      </c>
      <c r="D453" s="2011" t="s">
        <v>3150</v>
      </c>
      <c r="E453" s="2011" t="s">
        <v>3151</v>
      </c>
      <c r="F453" s="2011" t="s">
        <v>2591</v>
      </c>
      <c r="G453" s="2011" t="s">
        <v>3152</v>
      </c>
      <c r="H453" s="2011" t="s">
        <v>28</v>
      </c>
      <c r="I453" s="2011" t="s">
        <v>1716</v>
      </c>
    </row>
    <row r="454" spans="1:9" ht="11.25" customHeight="1">
      <c r="A454" s="2011" t="s">
        <v>2344</v>
      </c>
      <c r="B454" s="2011" t="s">
        <v>16</v>
      </c>
      <c r="C454" s="2011" t="s">
        <v>3153</v>
      </c>
      <c r="D454" s="2011" t="s">
        <v>3154</v>
      </c>
      <c r="E454" s="2011" t="s">
        <v>3155</v>
      </c>
      <c r="F454" s="2011" t="s">
        <v>2619</v>
      </c>
      <c r="G454" s="2011" t="s">
        <v>3156</v>
      </c>
      <c r="H454" s="2011" t="s">
        <v>28</v>
      </c>
      <c r="I454" s="2011" t="s">
        <v>1716</v>
      </c>
    </row>
    <row r="455" spans="1:9" ht="11.25" customHeight="1">
      <c r="A455" s="2011" t="s">
        <v>2344</v>
      </c>
      <c r="B455" s="2011" t="s">
        <v>16</v>
      </c>
      <c r="C455" s="2011" t="s">
        <v>3157</v>
      </c>
      <c r="D455" s="2011" t="s">
        <v>3158</v>
      </c>
      <c r="E455" s="2011" t="s">
        <v>3159</v>
      </c>
      <c r="F455" s="2011" t="s">
        <v>2687</v>
      </c>
      <c r="G455" s="2011" t="s">
        <v>3160</v>
      </c>
      <c r="H455" s="2011" t="s">
        <v>28</v>
      </c>
      <c r="I455" s="2011" t="s">
        <v>1716</v>
      </c>
    </row>
    <row r="456" spans="1:9" ht="11.25" customHeight="1">
      <c r="A456" s="2011" t="s">
        <v>2344</v>
      </c>
      <c r="B456" s="2011" t="s">
        <v>16</v>
      </c>
      <c r="C456" s="2011" t="s">
        <v>3161</v>
      </c>
      <c r="D456" s="2011" t="s">
        <v>3162</v>
      </c>
      <c r="E456" s="2011" t="s">
        <v>3163</v>
      </c>
      <c r="F456" s="2011" t="s">
        <v>2853</v>
      </c>
      <c r="G456" s="2011" t="s">
        <v>3164</v>
      </c>
      <c r="H456" s="2011" t="s">
        <v>28</v>
      </c>
      <c r="I456" s="2011" t="s">
        <v>1716</v>
      </c>
    </row>
    <row r="457" spans="1:9" ht="11.25" customHeight="1">
      <c r="A457" s="2011" t="s">
        <v>2344</v>
      </c>
      <c r="B457" s="2011" t="s">
        <v>16</v>
      </c>
      <c r="C457" s="2011" t="s">
        <v>2954</v>
      </c>
      <c r="D457" s="2011" t="s">
        <v>2955</v>
      </c>
      <c r="E457" s="2011" t="s">
        <v>2956</v>
      </c>
      <c r="F457" s="2011" t="s">
        <v>2578</v>
      </c>
      <c r="G457" s="2011" t="s">
        <v>28</v>
      </c>
      <c r="H457" s="2011" t="s">
        <v>28</v>
      </c>
      <c r="I457" s="2011" t="s">
        <v>1716</v>
      </c>
    </row>
    <row r="458" spans="1:9" ht="11.25" customHeight="1">
      <c r="A458" s="2011" t="s">
        <v>2344</v>
      </c>
      <c r="B458" s="2011" t="s">
        <v>16</v>
      </c>
      <c r="C458" s="2011" t="s">
        <v>3165</v>
      </c>
      <c r="D458" s="2011" t="s">
        <v>3166</v>
      </c>
      <c r="E458" s="2011" t="s">
        <v>3167</v>
      </c>
      <c r="F458" s="2011" t="s">
        <v>2769</v>
      </c>
      <c r="G458" s="2011" t="s">
        <v>3168</v>
      </c>
      <c r="H458" s="2011" t="s">
        <v>28</v>
      </c>
      <c r="I458" s="2011" t="s">
        <v>1716</v>
      </c>
    </row>
    <row r="459" spans="1:9" ht="11.25" customHeight="1">
      <c r="A459" s="2011" t="s">
        <v>2344</v>
      </c>
      <c r="B459" s="2011" t="s">
        <v>16</v>
      </c>
      <c r="C459" s="2011" t="s">
        <v>3169</v>
      </c>
      <c r="D459" s="2011" t="s">
        <v>3170</v>
      </c>
      <c r="E459" s="2011" t="s">
        <v>3171</v>
      </c>
      <c r="F459" s="2011" t="s">
        <v>2405</v>
      </c>
      <c r="G459" s="2011" t="s">
        <v>28</v>
      </c>
      <c r="H459" s="2011" t="s">
        <v>28</v>
      </c>
      <c r="I459" s="2011" t="s">
        <v>1716</v>
      </c>
    </row>
    <row r="460" spans="1:9" ht="11.25" customHeight="1">
      <c r="A460" s="2011" t="s">
        <v>2344</v>
      </c>
      <c r="B460" s="2011" t="s">
        <v>16</v>
      </c>
      <c r="C460" s="2011" t="s">
        <v>3172</v>
      </c>
      <c r="D460" s="2011" t="s">
        <v>3173</v>
      </c>
      <c r="E460" s="2011" t="s">
        <v>3174</v>
      </c>
      <c r="F460" s="2011" t="s">
        <v>2351</v>
      </c>
      <c r="G460" s="2011" t="s">
        <v>3175</v>
      </c>
      <c r="H460" s="2011" t="s">
        <v>28</v>
      </c>
      <c r="I460" s="2011" t="s">
        <v>1716</v>
      </c>
    </row>
    <row r="461" spans="1:9" ht="11.25" customHeight="1">
      <c r="A461" s="2011" t="s">
        <v>2344</v>
      </c>
      <c r="B461" s="2011" t="s">
        <v>16</v>
      </c>
      <c r="C461" s="2011" t="s">
        <v>3176</v>
      </c>
      <c r="D461" s="2011" t="s">
        <v>3177</v>
      </c>
      <c r="E461" s="2011" t="s">
        <v>3178</v>
      </c>
      <c r="F461" s="2011" t="s">
        <v>2666</v>
      </c>
      <c r="G461" s="2011" t="s">
        <v>28</v>
      </c>
      <c r="H461" s="2011" t="s">
        <v>28</v>
      </c>
      <c r="I461" s="2011" t="s">
        <v>1716</v>
      </c>
    </row>
    <row r="462" spans="1:9" ht="11.25" customHeight="1">
      <c r="A462" s="2011" t="s">
        <v>2344</v>
      </c>
      <c r="B462" s="2011" t="s">
        <v>16</v>
      </c>
      <c r="C462" s="2011" t="s">
        <v>3179</v>
      </c>
      <c r="D462" s="2011" t="s">
        <v>3180</v>
      </c>
      <c r="E462" s="2011" t="s">
        <v>3181</v>
      </c>
      <c r="F462" s="2011" t="s">
        <v>2498</v>
      </c>
      <c r="G462" s="2011" t="s">
        <v>3182</v>
      </c>
      <c r="H462" s="2011" t="s">
        <v>28</v>
      </c>
      <c r="I462" s="2011" t="s">
        <v>1716</v>
      </c>
    </row>
    <row r="463" spans="1:9" ht="11.25" customHeight="1">
      <c r="A463" s="2011" t="s">
        <v>2344</v>
      </c>
      <c r="B463" s="2011" t="s">
        <v>16</v>
      </c>
      <c r="C463" s="2011" t="s">
        <v>3183</v>
      </c>
      <c r="D463" s="2011" t="s">
        <v>3184</v>
      </c>
      <c r="E463" s="2011" t="s">
        <v>3185</v>
      </c>
      <c r="F463" s="2011" t="s">
        <v>2608</v>
      </c>
      <c r="G463" s="2011" t="s">
        <v>28</v>
      </c>
      <c r="H463" s="2011" t="s">
        <v>28</v>
      </c>
      <c r="I463" s="2011" t="s">
        <v>1716</v>
      </c>
    </row>
    <row r="464" spans="1:9" ht="11.25" customHeight="1">
      <c r="A464" s="2011" t="s">
        <v>2344</v>
      </c>
      <c r="B464" s="2011" t="s">
        <v>16</v>
      </c>
      <c r="C464" s="2011" t="s">
        <v>3186</v>
      </c>
      <c r="D464" s="2011" t="s">
        <v>3187</v>
      </c>
      <c r="E464" s="2011" t="s">
        <v>3188</v>
      </c>
      <c r="F464" s="2011" t="s">
        <v>2351</v>
      </c>
      <c r="G464" s="2011" t="s">
        <v>3189</v>
      </c>
      <c r="H464" s="2011" t="s">
        <v>28</v>
      </c>
      <c r="I464" s="2011" t="s">
        <v>1716</v>
      </c>
    </row>
    <row r="465" spans="1:9" ht="11.25" customHeight="1">
      <c r="A465" s="2011" t="s">
        <v>2344</v>
      </c>
      <c r="B465" s="2011" t="s">
        <v>16</v>
      </c>
      <c r="C465" s="2011" t="s">
        <v>3190</v>
      </c>
      <c r="D465" s="2011" t="s">
        <v>3191</v>
      </c>
      <c r="E465" s="2011" t="s">
        <v>3192</v>
      </c>
      <c r="F465" s="2011" t="s">
        <v>2347</v>
      </c>
      <c r="G465" s="2011" t="s">
        <v>3193</v>
      </c>
      <c r="H465" s="2011" t="s">
        <v>28</v>
      </c>
      <c r="I465" s="2011" t="s">
        <v>1716</v>
      </c>
    </row>
    <row r="466" spans="1:9" ht="11.25" customHeight="1">
      <c r="A466" s="2011" t="s">
        <v>2344</v>
      </c>
      <c r="B466" s="2011" t="s">
        <v>16</v>
      </c>
      <c r="C466" s="2011" t="s">
        <v>3194</v>
      </c>
      <c r="D466" s="2011" t="s">
        <v>3195</v>
      </c>
      <c r="E466" s="2011" t="s">
        <v>3196</v>
      </c>
      <c r="F466" s="2011" t="s">
        <v>2450</v>
      </c>
      <c r="G466" s="2011" t="s">
        <v>28</v>
      </c>
      <c r="H466" s="2011" t="s">
        <v>28</v>
      </c>
      <c r="I466" s="2011" t="s">
        <v>1716</v>
      </c>
    </row>
    <row r="467" spans="1:9" ht="11.25" customHeight="1">
      <c r="A467" s="2011" t="s">
        <v>2344</v>
      </c>
      <c r="B467" s="2011" t="s">
        <v>16</v>
      </c>
      <c r="C467" s="2011" t="s">
        <v>3197</v>
      </c>
      <c r="D467" s="2011" t="s">
        <v>3198</v>
      </c>
      <c r="E467" s="2011" t="s">
        <v>3199</v>
      </c>
      <c r="F467" s="2011" t="s">
        <v>2376</v>
      </c>
      <c r="G467" s="2011" t="s">
        <v>3200</v>
      </c>
      <c r="H467" s="2011" t="s">
        <v>28</v>
      </c>
      <c r="I467" s="2011" t="s">
        <v>1716</v>
      </c>
    </row>
    <row r="468" spans="1:9" ht="11.25" customHeight="1">
      <c r="A468" s="2011" t="s">
        <v>2344</v>
      </c>
      <c r="B468" s="2011" t="s">
        <v>16</v>
      </c>
      <c r="C468" s="2011" t="s">
        <v>2999</v>
      </c>
      <c r="D468" s="2011" t="s">
        <v>3000</v>
      </c>
      <c r="E468" s="2011" t="s">
        <v>3001</v>
      </c>
      <c r="F468" s="2011" t="s">
        <v>2526</v>
      </c>
      <c r="G468" s="2011" t="s">
        <v>28</v>
      </c>
      <c r="H468" s="2011" t="s">
        <v>28</v>
      </c>
      <c r="I468" s="2011" t="s">
        <v>1716</v>
      </c>
    </row>
    <row r="469" spans="1:9" ht="11.25" customHeight="1">
      <c r="A469" s="2011" t="s">
        <v>2344</v>
      </c>
      <c r="B469" s="2011" t="s">
        <v>16</v>
      </c>
      <c r="C469" s="2011" t="s">
        <v>3201</v>
      </c>
      <c r="D469" s="2011" t="s">
        <v>3202</v>
      </c>
      <c r="E469" s="2011" t="s">
        <v>3203</v>
      </c>
      <c r="F469" s="2011" t="s">
        <v>2347</v>
      </c>
      <c r="G469" s="2011" t="s">
        <v>3204</v>
      </c>
      <c r="H469" s="2011" t="s">
        <v>28</v>
      </c>
      <c r="I469" s="2011" t="s">
        <v>1716</v>
      </c>
    </row>
    <row r="470" spans="1:9" ht="11.25" customHeight="1">
      <c r="A470" s="2011" t="s">
        <v>2344</v>
      </c>
      <c r="B470" s="2011" t="s">
        <v>16</v>
      </c>
      <c r="C470" s="2011" t="s">
        <v>3205</v>
      </c>
      <c r="D470" s="2011" t="s">
        <v>3206</v>
      </c>
      <c r="E470" s="2011" t="s">
        <v>3207</v>
      </c>
      <c r="F470" s="2011" t="s">
        <v>2547</v>
      </c>
      <c r="G470" s="2011" t="s">
        <v>3208</v>
      </c>
      <c r="H470" s="2011" t="s">
        <v>28</v>
      </c>
      <c r="I470" s="2011" t="s">
        <v>1716</v>
      </c>
    </row>
    <row r="471" spans="1:9" ht="11.25" customHeight="1">
      <c r="A471" s="2011" t="s">
        <v>2344</v>
      </c>
      <c r="B471" s="2011" t="s">
        <v>16</v>
      </c>
      <c r="C471" s="2011" t="s">
        <v>3209</v>
      </c>
      <c r="D471" s="2011" t="s">
        <v>3210</v>
      </c>
      <c r="E471" s="2011" t="s">
        <v>3211</v>
      </c>
      <c r="F471" s="2011" t="s">
        <v>2591</v>
      </c>
      <c r="G471" s="2011" t="s">
        <v>3212</v>
      </c>
      <c r="H471" s="2011" t="s">
        <v>28</v>
      </c>
      <c r="I471" s="2011" t="s">
        <v>1716</v>
      </c>
    </row>
    <row r="472" spans="1:9" ht="11.25" customHeight="1">
      <c r="A472" s="2011" t="s">
        <v>2344</v>
      </c>
      <c r="B472" s="2011" t="s">
        <v>16</v>
      </c>
      <c r="C472" s="2011" t="s">
        <v>3213</v>
      </c>
      <c r="D472" s="2011" t="s">
        <v>3214</v>
      </c>
      <c r="E472" s="2011" t="s">
        <v>3215</v>
      </c>
      <c r="F472" s="2011" t="s">
        <v>2619</v>
      </c>
      <c r="G472" s="2011" t="s">
        <v>3216</v>
      </c>
      <c r="H472" s="2011" t="s">
        <v>28</v>
      </c>
      <c r="I472" s="2011" t="s">
        <v>1716</v>
      </c>
    </row>
    <row r="473" spans="1:9" ht="11.25" customHeight="1">
      <c r="A473" s="2011" t="s">
        <v>2344</v>
      </c>
      <c r="B473" s="2011" t="s">
        <v>16</v>
      </c>
      <c r="C473" s="2011" t="s">
        <v>3217</v>
      </c>
      <c r="D473" s="2011" t="s">
        <v>3218</v>
      </c>
      <c r="E473" s="2011" t="s">
        <v>3219</v>
      </c>
      <c r="F473" s="2011" t="s">
        <v>2479</v>
      </c>
      <c r="G473" s="2011" t="s">
        <v>3220</v>
      </c>
      <c r="H473" s="2011" t="s">
        <v>28</v>
      </c>
      <c r="I473" s="2011" t="s">
        <v>1716</v>
      </c>
    </row>
    <row r="474" spans="1:9" ht="11.25" customHeight="1">
      <c r="A474" s="2011" t="s">
        <v>2344</v>
      </c>
      <c r="B474" s="2011" t="s">
        <v>16</v>
      </c>
      <c r="C474" s="2011" t="s">
        <v>3221</v>
      </c>
      <c r="D474" s="2011" t="s">
        <v>3222</v>
      </c>
      <c r="E474" s="2011" t="s">
        <v>3223</v>
      </c>
      <c r="F474" s="2011" t="s">
        <v>2540</v>
      </c>
      <c r="G474" s="2011" t="s">
        <v>3224</v>
      </c>
      <c r="H474" s="2011" t="s">
        <v>28</v>
      </c>
      <c r="I474" s="2011" t="s">
        <v>1716</v>
      </c>
    </row>
    <row r="475" spans="1:9" ht="11.25" customHeight="1">
      <c r="A475" s="2011" t="s">
        <v>2344</v>
      </c>
      <c r="B475" s="2011" t="s">
        <v>16</v>
      </c>
      <c r="C475" s="2011" t="s">
        <v>3225</v>
      </c>
      <c r="D475" s="2011" t="s">
        <v>3226</v>
      </c>
      <c r="E475" s="2011" t="s">
        <v>3227</v>
      </c>
      <c r="F475" s="2011" t="s">
        <v>2396</v>
      </c>
      <c r="G475" s="2011" t="s">
        <v>3228</v>
      </c>
      <c r="H475" s="2011" t="s">
        <v>28</v>
      </c>
      <c r="I475" s="2011" t="s">
        <v>1716</v>
      </c>
    </row>
    <row r="476" spans="1:9" ht="11.25" customHeight="1">
      <c r="A476" s="2011" t="s">
        <v>2344</v>
      </c>
      <c r="B476" s="2011" t="s">
        <v>16</v>
      </c>
      <c r="C476" s="2011" t="s">
        <v>3229</v>
      </c>
      <c r="D476" s="2011" t="s">
        <v>3230</v>
      </c>
      <c r="E476" s="2011" t="s">
        <v>3231</v>
      </c>
      <c r="F476" s="2011" t="s">
        <v>2619</v>
      </c>
      <c r="G476" s="2011" t="s">
        <v>28</v>
      </c>
      <c r="H476" s="2011" t="s">
        <v>28</v>
      </c>
      <c r="I476" s="2011" t="s">
        <v>1716</v>
      </c>
    </row>
    <row r="477" spans="1:9" ht="11.25" customHeight="1">
      <c r="A477" s="2011" t="s">
        <v>2344</v>
      </c>
      <c r="B477" s="2011" t="s">
        <v>16</v>
      </c>
      <c r="C477" s="2011" t="s">
        <v>3232</v>
      </c>
      <c r="D477" s="2011" t="s">
        <v>3233</v>
      </c>
      <c r="E477" s="2011" t="s">
        <v>3234</v>
      </c>
      <c r="F477" s="2011" t="s">
        <v>2540</v>
      </c>
      <c r="G477" s="2011" t="s">
        <v>3235</v>
      </c>
      <c r="H477" s="2011" t="s">
        <v>28</v>
      </c>
      <c r="I477" s="2011" t="s">
        <v>1716</v>
      </c>
    </row>
    <row r="478" spans="1:9" ht="11.25" customHeight="1">
      <c r="A478" s="2011" t="s">
        <v>2344</v>
      </c>
      <c r="B478" s="2011" t="s">
        <v>16</v>
      </c>
      <c r="C478" s="2011" t="s">
        <v>3236</v>
      </c>
      <c r="D478" s="2011" t="s">
        <v>3237</v>
      </c>
      <c r="E478" s="2011" t="s">
        <v>3238</v>
      </c>
      <c r="F478" s="2011" t="s">
        <v>2384</v>
      </c>
      <c r="G478" s="2011" t="s">
        <v>3239</v>
      </c>
      <c r="H478" s="2011" t="s">
        <v>28</v>
      </c>
      <c r="I478" s="2011" t="s">
        <v>1716</v>
      </c>
    </row>
    <row r="479" spans="1:9" ht="11.25" customHeight="1">
      <c r="A479" s="2011" t="s">
        <v>2344</v>
      </c>
      <c r="B479" s="2011" t="s">
        <v>16</v>
      </c>
      <c r="C479" s="2011" t="s">
        <v>3240</v>
      </c>
      <c r="D479" s="2011" t="s">
        <v>3241</v>
      </c>
      <c r="E479" s="2011" t="s">
        <v>3242</v>
      </c>
      <c r="F479" s="2011" t="s">
        <v>2351</v>
      </c>
      <c r="G479" s="2011" t="s">
        <v>3243</v>
      </c>
      <c r="H479" s="2011" t="s">
        <v>28</v>
      </c>
      <c r="I479" s="2011" t="s">
        <v>1716</v>
      </c>
    </row>
    <row r="480" spans="1:9" ht="11.25" customHeight="1">
      <c r="A480" s="2011" t="s">
        <v>2344</v>
      </c>
      <c r="B480" s="2011" t="s">
        <v>16</v>
      </c>
      <c r="C480" s="2011" t="s">
        <v>3244</v>
      </c>
      <c r="D480" s="2011" t="s">
        <v>3245</v>
      </c>
      <c r="E480" s="2011" t="s">
        <v>3246</v>
      </c>
      <c r="F480" s="2011" t="s">
        <v>2351</v>
      </c>
      <c r="G480" s="2011" t="s">
        <v>3247</v>
      </c>
      <c r="H480" s="2011" t="s">
        <v>28</v>
      </c>
      <c r="I480" s="2011" t="s">
        <v>1716</v>
      </c>
    </row>
    <row r="481" spans="1:9" ht="11.25" customHeight="1">
      <c r="A481" s="2011" t="s">
        <v>2344</v>
      </c>
      <c r="B481" s="2011" t="s">
        <v>16</v>
      </c>
      <c r="C481" s="2011" t="s">
        <v>3248</v>
      </c>
      <c r="D481" s="2011" t="s">
        <v>3249</v>
      </c>
      <c r="E481" s="2011" t="s">
        <v>3250</v>
      </c>
      <c r="F481" s="2011" t="s">
        <v>2471</v>
      </c>
      <c r="G481" s="2011" t="s">
        <v>3251</v>
      </c>
      <c r="H481" s="2011" t="s">
        <v>28</v>
      </c>
      <c r="I481" s="2011" t="s">
        <v>1716</v>
      </c>
    </row>
    <row r="482" spans="1:9" ht="11.25" customHeight="1">
      <c r="A482" s="2011" t="s">
        <v>2344</v>
      </c>
      <c r="B482" s="2011" t="s">
        <v>16</v>
      </c>
      <c r="C482" s="2011" t="s">
        <v>3252</v>
      </c>
      <c r="D482" s="2011" t="s">
        <v>3253</v>
      </c>
      <c r="E482" s="2011" t="s">
        <v>3254</v>
      </c>
      <c r="F482" s="2011" t="s">
        <v>3047</v>
      </c>
      <c r="G482" s="2011" t="s">
        <v>3255</v>
      </c>
      <c r="H482" s="2011" t="s">
        <v>28</v>
      </c>
      <c r="I482" s="2011" t="s">
        <v>1716</v>
      </c>
    </row>
    <row r="483" spans="1:9" ht="11.25" customHeight="1">
      <c r="A483" s="2011" t="s">
        <v>2344</v>
      </c>
      <c r="B483" s="2011" t="s">
        <v>16</v>
      </c>
      <c r="C483" s="2011" t="s">
        <v>3256</v>
      </c>
      <c r="D483" s="2011" t="s">
        <v>3257</v>
      </c>
      <c r="E483" s="2011" t="s">
        <v>3258</v>
      </c>
      <c r="F483" s="2011" t="s">
        <v>2405</v>
      </c>
      <c r="G483" s="2011" t="s">
        <v>28</v>
      </c>
      <c r="H483" s="2011" t="s">
        <v>28</v>
      </c>
      <c r="I483" s="2011" t="s">
        <v>1716</v>
      </c>
    </row>
    <row r="484" spans="1:9" ht="11.25" customHeight="1">
      <c r="A484" s="2011" t="s">
        <v>2344</v>
      </c>
      <c r="B484" s="2011" t="s">
        <v>16</v>
      </c>
      <c r="C484" s="2011" t="s">
        <v>3259</v>
      </c>
      <c r="D484" s="2011" t="s">
        <v>3260</v>
      </c>
      <c r="E484" s="2011" t="s">
        <v>3261</v>
      </c>
      <c r="F484" s="2011" t="s">
        <v>2516</v>
      </c>
      <c r="G484" s="2011" t="s">
        <v>28</v>
      </c>
      <c r="H484" s="2011" t="s">
        <v>28</v>
      </c>
      <c r="I484" s="2011" t="s">
        <v>1716</v>
      </c>
    </row>
    <row r="485" spans="1:9" ht="11.25" customHeight="1">
      <c r="A485" s="2011" t="s">
        <v>2344</v>
      </c>
      <c r="B485" s="2011" t="s">
        <v>16</v>
      </c>
      <c r="C485" s="2011" t="s">
        <v>3262</v>
      </c>
      <c r="D485" s="2011" t="s">
        <v>3263</v>
      </c>
      <c r="E485" s="2011" t="s">
        <v>3264</v>
      </c>
      <c r="F485" s="2011" t="s">
        <v>2351</v>
      </c>
      <c r="G485" s="2011" t="s">
        <v>28</v>
      </c>
      <c r="H485" s="2011" t="s">
        <v>28</v>
      </c>
      <c r="I485" s="2011" t="s">
        <v>1716</v>
      </c>
    </row>
    <row r="486" spans="1:9" ht="11.25" customHeight="1">
      <c r="A486" s="2011" t="s">
        <v>2344</v>
      </c>
      <c r="B486" s="2011" t="s">
        <v>16</v>
      </c>
      <c r="C486" s="2011" t="s">
        <v>3265</v>
      </c>
      <c r="D486" s="2011" t="s">
        <v>3266</v>
      </c>
      <c r="E486" s="2011" t="s">
        <v>3267</v>
      </c>
      <c r="F486" s="2011" t="s">
        <v>2743</v>
      </c>
      <c r="G486" s="2011" t="s">
        <v>28</v>
      </c>
      <c r="H486" s="2011" t="s">
        <v>28</v>
      </c>
      <c r="I486" s="2011" t="s">
        <v>1716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4278"/>
  </cols>
  <sheetData>
    <row r="1" spans="1:7" ht="11.25" customHeight="1">
      <c r="A1" s="311" t="s">
        <v>3268</v>
      </c>
      <c r="B1" s="4" t="s">
        <v>3269</v>
      </c>
      <c r="C1" s="4" t="s">
        <v>3270</v>
      </c>
      <c r="D1" s="4" t="s">
        <v>3271</v>
      </c>
      <c r="E1" s="3" t="s">
        <v>3272</v>
      </c>
      <c r="F1" s="3" t="s">
        <v>3273</v>
      </c>
      <c r="G1" s="3" t="s">
        <v>3274</v>
      </c>
    </row>
    <row r="2" spans="1:7" ht="11.25" customHeight="1">
      <c r="A2" s="311" t="s">
        <v>16</v>
      </c>
      <c r="B2" t="s">
        <v>137</v>
      </c>
      <c r="C2" t="s">
        <v>138</v>
      </c>
      <c r="D2" t="s">
        <v>137</v>
      </c>
      <c r="E2" t="s">
        <v>138</v>
      </c>
      <c r="F2" t="s">
        <v>3275</v>
      </c>
      <c r="G2" t="s">
        <v>136</v>
      </c>
    </row>
    <row r="3" spans="1:7" ht="11.25" customHeight="1">
      <c r="A3" s="311" t="s">
        <v>16</v>
      </c>
      <c r="B3" t="s">
        <v>3276</v>
      </c>
      <c r="C3" t="s">
        <v>3277</v>
      </c>
      <c r="D3" t="s">
        <v>3276</v>
      </c>
      <c r="E3" t="s">
        <v>3277</v>
      </c>
      <c r="F3" t="s">
        <v>3278</v>
      </c>
      <c r="G3" t="s">
        <v>103</v>
      </c>
    </row>
    <row r="4" spans="1:7" ht="11.25" customHeight="1">
      <c r="A4" s="311" t="s">
        <v>16</v>
      </c>
      <c r="B4" t="s">
        <v>3279</v>
      </c>
      <c r="C4" t="s">
        <v>3280</v>
      </c>
      <c r="D4" t="s">
        <v>3279</v>
      </c>
      <c r="E4" t="s">
        <v>3280</v>
      </c>
      <c r="F4" t="s">
        <v>3278</v>
      </c>
      <c r="G4" t="s">
        <v>90</v>
      </c>
    </row>
    <row r="5" spans="1:7" ht="11.25" customHeight="1">
      <c r="A5" s="311" t="s">
        <v>16</v>
      </c>
      <c r="B5" t="s">
        <v>3281</v>
      </c>
      <c r="C5" t="s">
        <v>3282</v>
      </c>
      <c r="D5" t="s">
        <v>3281</v>
      </c>
      <c r="E5" t="s">
        <v>3282</v>
      </c>
      <c r="F5" t="s">
        <v>3278</v>
      </c>
      <c r="G5" t="s">
        <v>91</v>
      </c>
    </row>
    <row r="6" spans="1:7" ht="11.25" customHeight="1">
      <c r="A6" s="311" t="s">
        <v>16</v>
      </c>
      <c r="B6" t="s">
        <v>127</v>
      </c>
      <c r="C6" t="s">
        <v>128</v>
      </c>
      <c r="D6" t="s">
        <v>127</v>
      </c>
      <c r="E6" t="s">
        <v>128</v>
      </c>
      <c r="F6" t="s">
        <v>3278</v>
      </c>
      <c r="G6" t="s">
        <v>116</v>
      </c>
    </row>
    <row r="7" spans="1:7" ht="11.25" customHeight="1">
      <c r="A7" s="311" t="s">
        <v>16</v>
      </c>
      <c r="B7" t="s">
        <v>114</v>
      </c>
      <c r="C7" t="s">
        <v>115</v>
      </c>
      <c r="D7" t="s">
        <v>114</v>
      </c>
      <c r="E7" t="s">
        <v>115</v>
      </c>
      <c r="F7" t="s">
        <v>3278</v>
      </c>
      <c r="G7" t="s">
        <v>92</v>
      </c>
    </row>
    <row r="8" spans="1:7" ht="11.25" customHeight="1">
      <c r="A8" s="311" t="s">
        <v>16</v>
      </c>
      <c r="B8" t="s">
        <v>3283</v>
      </c>
      <c r="C8" t="s">
        <v>3284</v>
      </c>
      <c r="D8" t="s">
        <v>3283</v>
      </c>
      <c r="E8" t="s">
        <v>3284</v>
      </c>
      <c r="F8" t="s">
        <v>3278</v>
      </c>
      <c r="G8" t="s">
        <v>93</v>
      </c>
    </row>
    <row r="9" spans="1:7" ht="11.25" customHeight="1">
      <c r="A9" s="311" t="s">
        <v>16</v>
      </c>
      <c r="B9" t="s">
        <v>3285</v>
      </c>
      <c r="C9" t="s">
        <v>3286</v>
      </c>
      <c r="D9" t="s">
        <v>3287</v>
      </c>
      <c r="E9" t="s">
        <v>3288</v>
      </c>
      <c r="F9" t="s">
        <v>3289</v>
      </c>
      <c r="G9" t="s">
        <v>129</v>
      </c>
    </row>
    <row r="10" spans="1:7" ht="11.25" customHeight="1">
      <c r="A10" s="311" t="s">
        <v>16</v>
      </c>
      <c r="B10" t="s">
        <v>3285</v>
      </c>
      <c r="C10" t="s">
        <v>3286</v>
      </c>
      <c r="D10" t="s">
        <v>3285</v>
      </c>
      <c r="E10" t="s">
        <v>3286</v>
      </c>
      <c r="F10" t="s">
        <v>3290</v>
      </c>
      <c r="G10" t="s">
        <v>134</v>
      </c>
    </row>
    <row r="11" spans="1:7" ht="11.25" customHeight="1">
      <c r="A11" s="311" t="s">
        <v>16</v>
      </c>
      <c r="B11" t="s">
        <v>3285</v>
      </c>
      <c r="C11" t="s">
        <v>3286</v>
      </c>
      <c r="D11" t="s">
        <v>3291</v>
      </c>
      <c r="E11" t="s">
        <v>3292</v>
      </c>
      <c r="F11" t="s">
        <v>3289</v>
      </c>
      <c r="G11" t="s">
        <v>180</v>
      </c>
    </row>
    <row r="12" spans="1:7" ht="11.25" customHeight="1">
      <c r="A12" s="311" t="s">
        <v>16</v>
      </c>
      <c r="B12" t="s">
        <v>3285</v>
      </c>
      <c r="C12" t="s">
        <v>3286</v>
      </c>
      <c r="D12" t="s">
        <v>3293</v>
      </c>
      <c r="E12" t="s">
        <v>3294</v>
      </c>
      <c r="F12" t="s">
        <v>3295</v>
      </c>
      <c r="G12" t="s">
        <v>181</v>
      </c>
    </row>
    <row r="13" spans="1:7" ht="11.25" customHeight="1">
      <c r="A13" s="311" t="s">
        <v>16</v>
      </c>
      <c r="B13" t="s">
        <v>3285</v>
      </c>
      <c r="C13" t="s">
        <v>3286</v>
      </c>
      <c r="D13" t="s">
        <v>3296</v>
      </c>
      <c r="E13" t="s">
        <v>3297</v>
      </c>
      <c r="F13" t="s">
        <v>3289</v>
      </c>
      <c r="G13" t="s">
        <v>182</v>
      </c>
    </row>
    <row r="14" spans="1:7" ht="11.25" customHeight="1">
      <c r="A14" s="311" t="s">
        <v>16</v>
      </c>
      <c r="B14" t="s">
        <v>3285</v>
      </c>
      <c r="C14" t="s">
        <v>3286</v>
      </c>
      <c r="D14" t="s">
        <v>3298</v>
      </c>
      <c r="E14" t="s">
        <v>3299</v>
      </c>
      <c r="F14" t="s">
        <v>3289</v>
      </c>
      <c r="G14" t="s">
        <v>183</v>
      </c>
    </row>
    <row r="15" spans="1:7" ht="11.25" customHeight="1">
      <c r="A15" s="311" t="s">
        <v>16</v>
      </c>
      <c r="B15" t="s">
        <v>3285</v>
      </c>
      <c r="C15" t="s">
        <v>3286</v>
      </c>
      <c r="D15" t="s">
        <v>3300</v>
      </c>
      <c r="E15" t="s">
        <v>3301</v>
      </c>
      <c r="F15" t="s">
        <v>3289</v>
      </c>
      <c r="G15" t="s">
        <v>184</v>
      </c>
    </row>
    <row r="16" spans="1:7" ht="11.25" customHeight="1">
      <c r="A16" s="311" t="s">
        <v>16</v>
      </c>
      <c r="B16" t="s">
        <v>3285</v>
      </c>
      <c r="C16" t="s">
        <v>3286</v>
      </c>
      <c r="D16" t="s">
        <v>3302</v>
      </c>
      <c r="E16" t="s">
        <v>3303</v>
      </c>
      <c r="F16" t="s">
        <v>3289</v>
      </c>
      <c r="G16" t="s">
        <v>1561</v>
      </c>
    </row>
    <row r="17" spans="1:7" ht="11.25" customHeight="1">
      <c r="A17" s="311" t="s">
        <v>16</v>
      </c>
      <c r="B17" t="s">
        <v>111</v>
      </c>
      <c r="C17" t="s">
        <v>112</v>
      </c>
      <c r="D17" t="s">
        <v>111</v>
      </c>
      <c r="E17" t="s">
        <v>112</v>
      </c>
      <c r="F17" t="s">
        <v>3275</v>
      </c>
      <c r="G17" t="s">
        <v>110</v>
      </c>
    </row>
    <row r="18" spans="1:7" ht="11.25" customHeight="1">
      <c r="A18" s="311" t="s">
        <v>16</v>
      </c>
      <c r="B18" t="s">
        <v>3304</v>
      </c>
      <c r="C18" t="s">
        <v>3305</v>
      </c>
      <c r="D18" t="s">
        <v>3306</v>
      </c>
      <c r="E18" t="s">
        <v>3307</v>
      </c>
      <c r="F18" t="s">
        <v>3289</v>
      </c>
      <c r="G18" t="s">
        <v>1578</v>
      </c>
    </row>
    <row r="19" spans="1:7" ht="11.25" customHeight="1">
      <c r="A19" s="311" t="s">
        <v>16</v>
      </c>
      <c r="B19" t="s">
        <v>3304</v>
      </c>
      <c r="C19" t="s">
        <v>3305</v>
      </c>
      <c r="D19" t="s">
        <v>3308</v>
      </c>
      <c r="E19" t="s">
        <v>3309</v>
      </c>
      <c r="F19" t="s">
        <v>3310</v>
      </c>
      <c r="G19" t="s">
        <v>1592</v>
      </c>
    </row>
    <row r="20" spans="1:7" ht="11.25" customHeight="1">
      <c r="A20" s="311" t="s">
        <v>16</v>
      </c>
      <c r="B20" t="s">
        <v>3304</v>
      </c>
      <c r="C20" t="s">
        <v>3305</v>
      </c>
      <c r="D20" t="s">
        <v>3304</v>
      </c>
      <c r="E20" t="s">
        <v>3305</v>
      </c>
      <c r="F20" t="s">
        <v>3290</v>
      </c>
      <c r="G20" t="s">
        <v>1604</v>
      </c>
    </row>
    <row r="21" spans="1:7" ht="11.25" customHeight="1">
      <c r="A21" s="311" t="s">
        <v>16</v>
      </c>
      <c r="B21" t="s">
        <v>3304</v>
      </c>
      <c r="C21" t="s">
        <v>3305</v>
      </c>
      <c r="D21" t="s">
        <v>3311</v>
      </c>
      <c r="E21" t="s">
        <v>3312</v>
      </c>
      <c r="F21" t="s">
        <v>3310</v>
      </c>
      <c r="G21" t="s">
        <v>1613</v>
      </c>
    </row>
    <row r="22" spans="1:7" ht="11.25" customHeight="1">
      <c r="A22" s="311" t="s">
        <v>16</v>
      </c>
      <c r="B22" t="s">
        <v>3304</v>
      </c>
      <c r="C22" t="s">
        <v>3305</v>
      </c>
      <c r="D22" t="s">
        <v>3313</v>
      </c>
      <c r="E22" t="s">
        <v>3314</v>
      </c>
      <c r="F22" t="s">
        <v>3289</v>
      </c>
      <c r="G22" t="s">
        <v>1629</v>
      </c>
    </row>
    <row r="23" spans="1:7" ht="11.25" customHeight="1">
      <c r="A23" s="311" t="s">
        <v>16</v>
      </c>
      <c r="B23" t="s">
        <v>3304</v>
      </c>
      <c r="C23" t="s">
        <v>3305</v>
      </c>
      <c r="D23" t="s">
        <v>3315</v>
      </c>
      <c r="E23" t="s">
        <v>3316</v>
      </c>
      <c r="F23" t="s">
        <v>3295</v>
      </c>
      <c r="G23" t="s">
        <v>1636</v>
      </c>
    </row>
    <row r="24" spans="1:7" ht="11.25" customHeight="1">
      <c r="A24" s="311" t="s">
        <v>16</v>
      </c>
      <c r="B24" t="s">
        <v>3304</v>
      </c>
      <c r="C24" t="s">
        <v>3305</v>
      </c>
      <c r="D24" t="s">
        <v>3317</v>
      </c>
      <c r="E24" t="s">
        <v>3318</v>
      </c>
      <c r="F24" t="s">
        <v>3289</v>
      </c>
      <c r="G24" t="s">
        <v>1644</v>
      </c>
    </row>
    <row r="25" spans="1:7" ht="11.25" customHeight="1">
      <c r="A25" s="311" t="s">
        <v>16</v>
      </c>
      <c r="B25" t="s">
        <v>3304</v>
      </c>
      <c r="C25" t="s">
        <v>3305</v>
      </c>
      <c r="D25" t="s">
        <v>3319</v>
      </c>
      <c r="E25" t="s">
        <v>3320</v>
      </c>
      <c r="F25" t="s">
        <v>3289</v>
      </c>
      <c r="G25" t="s">
        <v>1651</v>
      </c>
    </row>
    <row r="26" spans="1:7" ht="11.25" customHeight="1">
      <c r="A26" s="311" t="s">
        <v>16</v>
      </c>
      <c r="B26" t="s">
        <v>3321</v>
      </c>
      <c r="C26" t="s">
        <v>3322</v>
      </c>
      <c r="D26" t="s">
        <v>3321</v>
      </c>
      <c r="E26" t="s">
        <v>3322</v>
      </c>
      <c r="F26" t="s">
        <v>3275</v>
      </c>
      <c r="G26" t="s">
        <v>1655</v>
      </c>
    </row>
    <row r="27" spans="1:7" ht="11.25" customHeight="1">
      <c r="A27" s="311" t="s">
        <v>16</v>
      </c>
      <c r="B27" t="s">
        <v>3323</v>
      </c>
      <c r="C27" t="s">
        <v>3324</v>
      </c>
      <c r="D27" t="s">
        <v>3325</v>
      </c>
      <c r="E27" t="s">
        <v>3326</v>
      </c>
      <c r="F27" t="s">
        <v>3310</v>
      </c>
      <c r="G27" t="s">
        <v>1660</v>
      </c>
    </row>
    <row r="28" spans="1:7" ht="11.25" customHeight="1">
      <c r="A28" s="311" t="s">
        <v>16</v>
      </c>
      <c r="B28" t="s">
        <v>3323</v>
      </c>
      <c r="C28" t="s">
        <v>3324</v>
      </c>
      <c r="D28" t="s">
        <v>3327</v>
      </c>
      <c r="E28" t="s">
        <v>3328</v>
      </c>
      <c r="F28" t="s">
        <v>3289</v>
      </c>
      <c r="G28" t="s">
        <v>1668</v>
      </c>
    </row>
    <row r="29" spans="1:7" ht="11.25" customHeight="1">
      <c r="A29" s="311" t="s">
        <v>16</v>
      </c>
      <c r="B29" t="s">
        <v>3323</v>
      </c>
      <c r="C29" t="s">
        <v>3324</v>
      </c>
      <c r="D29" t="s">
        <v>3329</v>
      </c>
      <c r="E29" t="s">
        <v>3330</v>
      </c>
      <c r="F29" t="s">
        <v>3289</v>
      </c>
      <c r="G29" t="s">
        <v>1670</v>
      </c>
    </row>
    <row r="30" spans="1:7" ht="11.25" customHeight="1">
      <c r="A30" s="311" t="s">
        <v>16</v>
      </c>
      <c r="B30" t="s">
        <v>3323</v>
      </c>
      <c r="C30" t="s">
        <v>3324</v>
      </c>
      <c r="D30" t="s">
        <v>3331</v>
      </c>
      <c r="E30" t="s">
        <v>3332</v>
      </c>
      <c r="F30" t="s">
        <v>3289</v>
      </c>
      <c r="G30" t="s">
        <v>1673</v>
      </c>
    </row>
    <row r="31" spans="1:7" ht="11.25" customHeight="1">
      <c r="A31" s="311" t="s">
        <v>16</v>
      </c>
      <c r="B31" t="s">
        <v>3323</v>
      </c>
      <c r="C31" t="s">
        <v>3324</v>
      </c>
      <c r="D31" t="s">
        <v>3333</v>
      </c>
      <c r="E31" t="s">
        <v>3334</v>
      </c>
      <c r="F31" t="s">
        <v>3289</v>
      </c>
      <c r="G31" t="s">
        <v>1678</v>
      </c>
    </row>
    <row r="32" spans="1:7" ht="11.25" customHeight="1">
      <c r="A32" s="311" t="s">
        <v>16</v>
      </c>
      <c r="B32" t="s">
        <v>3323</v>
      </c>
      <c r="C32" t="s">
        <v>3324</v>
      </c>
      <c r="D32" t="s">
        <v>3323</v>
      </c>
      <c r="E32" t="s">
        <v>3324</v>
      </c>
      <c r="F32" t="s">
        <v>3290</v>
      </c>
      <c r="G32" t="s">
        <v>1680</v>
      </c>
    </row>
    <row r="33" spans="1:7" ht="11.25" customHeight="1">
      <c r="A33" s="311" t="s">
        <v>16</v>
      </c>
      <c r="B33" t="s">
        <v>3323</v>
      </c>
      <c r="C33" t="s">
        <v>3324</v>
      </c>
      <c r="D33" t="s">
        <v>3335</v>
      </c>
      <c r="E33" t="s">
        <v>3336</v>
      </c>
      <c r="F33" t="s">
        <v>3289</v>
      </c>
      <c r="G33" t="s">
        <v>1682</v>
      </c>
    </row>
    <row r="34" spans="1:7" ht="11.25" customHeight="1">
      <c r="A34" s="311" t="s">
        <v>16</v>
      </c>
      <c r="B34" t="s">
        <v>3323</v>
      </c>
      <c r="C34" t="s">
        <v>3324</v>
      </c>
      <c r="D34" t="s">
        <v>3337</v>
      </c>
      <c r="E34" t="s">
        <v>3338</v>
      </c>
      <c r="F34" t="s">
        <v>3289</v>
      </c>
      <c r="G34" t="s">
        <v>1684</v>
      </c>
    </row>
    <row r="35" spans="1:7" ht="11.25" customHeight="1">
      <c r="A35" s="311" t="s">
        <v>16</v>
      </c>
      <c r="B35" t="s">
        <v>3323</v>
      </c>
      <c r="C35" t="s">
        <v>3324</v>
      </c>
      <c r="D35" t="s">
        <v>3339</v>
      </c>
      <c r="E35" t="s">
        <v>3340</v>
      </c>
      <c r="F35" t="s">
        <v>3289</v>
      </c>
      <c r="G35" t="s">
        <v>1689</v>
      </c>
    </row>
    <row r="36" spans="1:7" ht="11.25" customHeight="1">
      <c r="A36" s="311" t="s">
        <v>16</v>
      </c>
      <c r="B36" t="s">
        <v>3323</v>
      </c>
      <c r="C36" t="s">
        <v>3324</v>
      </c>
      <c r="D36" t="s">
        <v>3341</v>
      </c>
      <c r="E36" t="s">
        <v>3342</v>
      </c>
      <c r="F36" t="s">
        <v>3289</v>
      </c>
      <c r="G36" t="s">
        <v>1694</v>
      </c>
    </row>
    <row r="37" spans="1:7" ht="11.25" customHeight="1">
      <c r="A37" s="311" t="s">
        <v>16</v>
      </c>
      <c r="B37" t="s">
        <v>3323</v>
      </c>
      <c r="C37" t="s">
        <v>3324</v>
      </c>
      <c r="D37" t="s">
        <v>3343</v>
      </c>
      <c r="E37" t="s">
        <v>3344</v>
      </c>
      <c r="F37" t="s">
        <v>3289</v>
      </c>
      <c r="G37" t="s">
        <v>1698</v>
      </c>
    </row>
    <row r="38" spans="1:7" ht="11.25" customHeight="1">
      <c r="A38" s="311" t="s">
        <v>16</v>
      </c>
      <c r="B38" t="s">
        <v>3345</v>
      </c>
      <c r="C38" t="s">
        <v>3346</v>
      </c>
      <c r="D38" t="s">
        <v>3345</v>
      </c>
      <c r="E38" t="s">
        <v>3346</v>
      </c>
      <c r="F38" t="s">
        <v>3275</v>
      </c>
      <c r="G38" t="s">
        <v>1706</v>
      </c>
    </row>
    <row r="39" spans="1:7" ht="11.25" customHeight="1">
      <c r="A39" s="311" t="s">
        <v>16</v>
      </c>
      <c r="B39" t="s">
        <v>3347</v>
      </c>
      <c r="C39" t="s">
        <v>3348</v>
      </c>
      <c r="D39" t="s">
        <v>3347</v>
      </c>
      <c r="E39" t="s">
        <v>3348</v>
      </c>
      <c r="F39" t="s">
        <v>3278</v>
      </c>
      <c r="G39" t="s">
        <v>1712</v>
      </c>
    </row>
    <row r="40" spans="1:7" ht="11.25" customHeight="1">
      <c r="A40" s="311" t="s">
        <v>16</v>
      </c>
      <c r="B40" t="s">
        <v>119</v>
      </c>
      <c r="C40" t="s">
        <v>3349</v>
      </c>
      <c r="D40" t="s">
        <v>3350</v>
      </c>
      <c r="E40" t="s">
        <v>3351</v>
      </c>
      <c r="F40" t="s">
        <v>3289</v>
      </c>
      <c r="G40" t="s">
        <v>1717</v>
      </c>
    </row>
    <row r="41" spans="1:7" ht="11.25" customHeight="1">
      <c r="A41" s="311" t="s">
        <v>16</v>
      </c>
      <c r="B41" t="s">
        <v>119</v>
      </c>
      <c r="C41" t="s">
        <v>3349</v>
      </c>
      <c r="D41" t="s">
        <v>3352</v>
      </c>
      <c r="E41" t="s">
        <v>3353</v>
      </c>
      <c r="F41" t="s">
        <v>3289</v>
      </c>
      <c r="G41" t="s">
        <v>1721</v>
      </c>
    </row>
    <row r="42" spans="1:7" ht="11.25" customHeight="1">
      <c r="A42" s="311" t="s">
        <v>16</v>
      </c>
      <c r="B42" t="s">
        <v>119</v>
      </c>
      <c r="C42" t="s">
        <v>3349</v>
      </c>
      <c r="D42" t="s">
        <v>3354</v>
      </c>
      <c r="E42" t="s">
        <v>3355</v>
      </c>
      <c r="F42" t="s">
        <v>3289</v>
      </c>
      <c r="G42" t="s">
        <v>1724</v>
      </c>
    </row>
    <row r="43" spans="1:7" ht="11.25" customHeight="1">
      <c r="A43" s="311" t="s">
        <v>16</v>
      </c>
      <c r="B43" t="s">
        <v>119</v>
      </c>
      <c r="C43" t="s">
        <v>3349</v>
      </c>
      <c r="D43" t="s">
        <v>119</v>
      </c>
      <c r="E43" t="s">
        <v>3349</v>
      </c>
      <c r="F43" t="s">
        <v>3290</v>
      </c>
      <c r="G43" t="s">
        <v>1731</v>
      </c>
    </row>
    <row r="44" spans="1:7" ht="11.25" customHeight="1">
      <c r="A44" s="311" t="s">
        <v>16</v>
      </c>
      <c r="B44" t="s">
        <v>119</v>
      </c>
      <c r="C44" t="s">
        <v>3349</v>
      </c>
      <c r="D44" t="s">
        <v>3356</v>
      </c>
      <c r="E44" t="s">
        <v>3357</v>
      </c>
      <c r="F44" t="s">
        <v>3289</v>
      </c>
      <c r="G44" t="s">
        <v>1740</v>
      </c>
    </row>
    <row r="45" spans="1:7" ht="11.25" customHeight="1">
      <c r="A45" s="311" t="s">
        <v>16</v>
      </c>
      <c r="B45" t="s">
        <v>119</v>
      </c>
      <c r="C45" t="s">
        <v>3349</v>
      </c>
      <c r="D45" t="s">
        <v>120</v>
      </c>
      <c r="E45" t="s">
        <v>121</v>
      </c>
      <c r="F45" t="s">
        <v>3310</v>
      </c>
      <c r="G45" t="s">
        <v>118</v>
      </c>
    </row>
    <row r="46" spans="1:7" ht="11.25" customHeight="1">
      <c r="A46" s="311" t="s">
        <v>16</v>
      </c>
      <c r="B46" t="s">
        <v>119</v>
      </c>
      <c r="C46" t="s">
        <v>3349</v>
      </c>
      <c r="D46" t="s">
        <v>3358</v>
      </c>
      <c r="E46" t="s">
        <v>3359</v>
      </c>
      <c r="F46" t="s">
        <v>3289</v>
      </c>
      <c r="G46" t="s">
        <v>1748</v>
      </c>
    </row>
    <row r="47" spans="1:7" ht="11.25" customHeight="1">
      <c r="A47" s="311" t="s">
        <v>16</v>
      </c>
      <c r="B47" t="s">
        <v>119</v>
      </c>
      <c r="C47" t="s">
        <v>3349</v>
      </c>
      <c r="D47" t="s">
        <v>3360</v>
      </c>
      <c r="E47" t="s">
        <v>3361</v>
      </c>
      <c r="F47" t="s">
        <v>3289</v>
      </c>
      <c r="G47" t="s">
        <v>1754</v>
      </c>
    </row>
    <row r="48" spans="1:7" ht="11.25" customHeight="1">
      <c r="A48" s="311" t="s">
        <v>16</v>
      </c>
      <c r="B48" t="s">
        <v>3362</v>
      </c>
      <c r="C48" t="s">
        <v>3363</v>
      </c>
      <c r="D48" t="s">
        <v>3362</v>
      </c>
      <c r="E48" t="s">
        <v>3363</v>
      </c>
      <c r="F48" t="s">
        <v>3290</v>
      </c>
      <c r="G48" t="s">
        <v>1758</v>
      </c>
    </row>
    <row r="49" spans="1:7" ht="11.25" customHeight="1">
      <c r="A49" s="311" t="s">
        <v>16</v>
      </c>
      <c r="B49" t="s">
        <v>3362</v>
      </c>
      <c r="C49" t="s">
        <v>3363</v>
      </c>
      <c r="D49" t="s">
        <v>3364</v>
      </c>
      <c r="E49" t="s">
        <v>3365</v>
      </c>
      <c r="F49" t="s">
        <v>3289</v>
      </c>
      <c r="G49" t="s">
        <v>1761</v>
      </c>
    </row>
    <row r="50" spans="1:7" ht="11.25" customHeight="1">
      <c r="A50" s="311" t="s">
        <v>16</v>
      </c>
      <c r="B50" t="s">
        <v>3362</v>
      </c>
      <c r="C50" t="s">
        <v>3363</v>
      </c>
      <c r="D50" t="s">
        <v>3366</v>
      </c>
      <c r="E50" t="s">
        <v>3367</v>
      </c>
      <c r="F50" t="s">
        <v>3289</v>
      </c>
      <c r="G50" t="s">
        <v>1764</v>
      </c>
    </row>
    <row r="51" spans="1:7" ht="11.25" customHeight="1">
      <c r="A51" s="311" t="s">
        <v>16</v>
      </c>
      <c r="B51" t="s">
        <v>3362</v>
      </c>
      <c r="C51" t="s">
        <v>3363</v>
      </c>
      <c r="D51" t="s">
        <v>3368</v>
      </c>
      <c r="E51" t="s">
        <v>3369</v>
      </c>
      <c r="F51" t="s">
        <v>3289</v>
      </c>
      <c r="G51" t="s">
        <v>1769</v>
      </c>
    </row>
    <row r="52" spans="1:7" ht="11.25" customHeight="1">
      <c r="A52" s="311" t="s">
        <v>16</v>
      </c>
      <c r="B52" t="s">
        <v>3370</v>
      </c>
      <c r="C52" t="s">
        <v>3371</v>
      </c>
      <c r="D52" t="s">
        <v>3370</v>
      </c>
      <c r="E52" t="s">
        <v>3371</v>
      </c>
      <c r="F52" t="s">
        <v>3278</v>
      </c>
      <c r="G52" t="s">
        <v>1773</v>
      </c>
    </row>
    <row r="53" spans="1:7" ht="11.25" customHeight="1">
      <c r="A53" s="311" t="s">
        <v>16</v>
      </c>
      <c r="B53" t="s">
        <v>3372</v>
      </c>
      <c r="C53" t="s">
        <v>3373</v>
      </c>
      <c r="D53" t="s">
        <v>3372</v>
      </c>
      <c r="E53" t="s">
        <v>3373</v>
      </c>
      <c r="F53" t="s">
        <v>3275</v>
      </c>
      <c r="G53" t="s">
        <v>1775</v>
      </c>
    </row>
    <row r="54" spans="1:7" ht="11.25" customHeight="1">
      <c r="A54" s="311" t="s">
        <v>16</v>
      </c>
      <c r="B54" t="s">
        <v>3374</v>
      </c>
      <c r="C54" t="s">
        <v>3375</v>
      </c>
      <c r="D54" t="s">
        <v>3374</v>
      </c>
      <c r="E54" t="s">
        <v>3375</v>
      </c>
      <c r="F54" t="s">
        <v>3275</v>
      </c>
      <c r="G54" t="s">
        <v>1778</v>
      </c>
    </row>
    <row r="55" spans="1:7" ht="11.25" customHeight="1">
      <c r="A55" s="311" t="s">
        <v>16</v>
      </c>
      <c r="B55" t="s">
        <v>3376</v>
      </c>
      <c r="C55" t="s">
        <v>3377</v>
      </c>
      <c r="D55" t="s">
        <v>3376</v>
      </c>
      <c r="E55" t="s">
        <v>3377</v>
      </c>
      <c r="F55" t="s">
        <v>3278</v>
      </c>
      <c r="G55" t="s">
        <v>1783</v>
      </c>
    </row>
    <row r="56" spans="1:7" ht="11.25" customHeight="1">
      <c r="A56" s="311" t="s">
        <v>16</v>
      </c>
      <c r="B56" t="s">
        <v>3378</v>
      </c>
      <c r="C56" t="s">
        <v>3379</v>
      </c>
      <c r="D56" t="s">
        <v>3378</v>
      </c>
      <c r="E56" t="s">
        <v>3379</v>
      </c>
      <c r="F56" t="s">
        <v>3275</v>
      </c>
      <c r="G56" t="s">
        <v>1786</v>
      </c>
    </row>
    <row r="57" spans="1:7" ht="11.25" customHeight="1">
      <c r="A57" s="311" t="s">
        <v>16</v>
      </c>
      <c r="B57" t="s">
        <v>3380</v>
      </c>
      <c r="C57" t="s">
        <v>3381</v>
      </c>
      <c r="D57" t="s">
        <v>3382</v>
      </c>
      <c r="E57" t="s">
        <v>3383</v>
      </c>
      <c r="F57" t="s">
        <v>3289</v>
      </c>
      <c r="G57" t="s">
        <v>1789</v>
      </c>
    </row>
    <row r="58" spans="1:7" ht="11.25" customHeight="1">
      <c r="A58" s="311" t="s">
        <v>16</v>
      </c>
      <c r="B58" t="s">
        <v>3380</v>
      </c>
      <c r="C58" t="s">
        <v>3381</v>
      </c>
      <c r="D58" t="s">
        <v>3384</v>
      </c>
      <c r="E58" t="s">
        <v>3385</v>
      </c>
      <c r="F58" t="s">
        <v>3289</v>
      </c>
      <c r="G58" t="s">
        <v>1792</v>
      </c>
    </row>
    <row r="59" spans="1:7" ht="11.25" customHeight="1">
      <c r="A59" s="311" t="s">
        <v>16</v>
      </c>
      <c r="B59" t="s">
        <v>3380</v>
      </c>
      <c r="C59" t="s">
        <v>3381</v>
      </c>
      <c r="D59" t="s">
        <v>3386</v>
      </c>
      <c r="E59" t="s">
        <v>3387</v>
      </c>
      <c r="F59" t="s">
        <v>3289</v>
      </c>
      <c r="G59" t="s">
        <v>1796</v>
      </c>
    </row>
    <row r="60" spans="1:7" ht="11.25" customHeight="1">
      <c r="A60" s="311" t="s">
        <v>16</v>
      </c>
      <c r="B60" t="s">
        <v>3380</v>
      </c>
      <c r="C60" t="s">
        <v>3381</v>
      </c>
      <c r="D60" t="s">
        <v>3388</v>
      </c>
      <c r="E60" t="s">
        <v>3389</v>
      </c>
      <c r="F60" t="s">
        <v>3295</v>
      </c>
      <c r="G60" t="s">
        <v>1799</v>
      </c>
    </row>
    <row r="61" spans="1:7" ht="11.25" customHeight="1">
      <c r="A61" s="311" t="s">
        <v>16</v>
      </c>
      <c r="B61" t="s">
        <v>3380</v>
      </c>
      <c r="C61" t="s">
        <v>3381</v>
      </c>
      <c r="D61" t="s">
        <v>3390</v>
      </c>
      <c r="E61" t="s">
        <v>3391</v>
      </c>
      <c r="F61" t="s">
        <v>3289</v>
      </c>
      <c r="G61" t="s">
        <v>3392</v>
      </c>
    </row>
    <row r="62" spans="1:7" ht="11.25" customHeight="1">
      <c r="A62" s="311" t="s">
        <v>16</v>
      </c>
      <c r="B62" t="s">
        <v>3380</v>
      </c>
      <c r="C62" t="s">
        <v>3381</v>
      </c>
      <c r="D62" t="s">
        <v>3393</v>
      </c>
      <c r="E62" t="s">
        <v>3394</v>
      </c>
      <c r="F62" t="s">
        <v>3289</v>
      </c>
      <c r="G62" t="s">
        <v>3395</v>
      </c>
    </row>
    <row r="63" spans="1:7" ht="11.25" customHeight="1">
      <c r="A63" s="311" t="s">
        <v>16</v>
      </c>
      <c r="B63" t="s">
        <v>3380</v>
      </c>
      <c r="C63" t="s">
        <v>3381</v>
      </c>
      <c r="D63" t="s">
        <v>3380</v>
      </c>
      <c r="E63" t="s">
        <v>3381</v>
      </c>
      <c r="F63" t="s">
        <v>3290</v>
      </c>
      <c r="G63" t="s">
        <v>3396</v>
      </c>
    </row>
    <row r="64" spans="1:7" ht="11.25" customHeight="1">
      <c r="A64" s="311" t="s">
        <v>16</v>
      </c>
      <c r="B64" t="s">
        <v>3380</v>
      </c>
      <c r="C64" t="s">
        <v>3381</v>
      </c>
      <c r="D64" t="s">
        <v>3397</v>
      </c>
      <c r="E64" t="s">
        <v>3398</v>
      </c>
      <c r="F64" t="s">
        <v>3289</v>
      </c>
      <c r="G64" t="s">
        <v>3399</v>
      </c>
    </row>
    <row r="65" spans="1:7" ht="11.25" customHeight="1">
      <c r="A65" s="311" t="s">
        <v>16</v>
      </c>
      <c r="B65" t="s">
        <v>3400</v>
      </c>
      <c r="C65" t="s">
        <v>3401</v>
      </c>
      <c r="D65" t="s">
        <v>3400</v>
      </c>
      <c r="E65" t="s">
        <v>3401</v>
      </c>
      <c r="F65" t="s">
        <v>3275</v>
      </c>
      <c r="G65" t="s">
        <v>3402</v>
      </c>
    </row>
    <row r="66" spans="1:7" ht="11.25" customHeight="1">
      <c r="A66" s="311" t="s">
        <v>16</v>
      </c>
      <c r="B66" t="s">
        <v>3403</v>
      </c>
      <c r="C66" t="s">
        <v>3404</v>
      </c>
      <c r="D66" t="s">
        <v>3403</v>
      </c>
      <c r="E66" t="s">
        <v>3404</v>
      </c>
      <c r="F66" t="s">
        <v>3275</v>
      </c>
      <c r="G66" t="s">
        <v>3405</v>
      </c>
    </row>
    <row r="67" spans="1:7" ht="11.25" customHeight="1">
      <c r="A67" s="311" t="s">
        <v>16</v>
      </c>
      <c r="B67" t="s">
        <v>3406</v>
      </c>
      <c r="C67" t="s">
        <v>3407</v>
      </c>
      <c r="D67" t="s">
        <v>3408</v>
      </c>
      <c r="E67" t="s">
        <v>3409</v>
      </c>
      <c r="F67" t="s">
        <v>3289</v>
      </c>
      <c r="G67" t="s">
        <v>2118</v>
      </c>
    </row>
    <row r="68" spans="1:7" ht="11.25" customHeight="1">
      <c r="A68" s="311" t="s">
        <v>16</v>
      </c>
      <c r="B68" t="s">
        <v>3406</v>
      </c>
      <c r="C68" t="s">
        <v>3407</v>
      </c>
      <c r="D68" t="s">
        <v>3410</v>
      </c>
      <c r="E68" t="s">
        <v>3411</v>
      </c>
      <c r="F68" t="s">
        <v>3289</v>
      </c>
      <c r="G68" t="s">
        <v>3412</v>
      </c>
    </row>
    <row r="69" spans="1:7" ht="11.25" customHeight="1">
      <c r="A69" s="311" t="s">
        <v>16</v>
      </c>
      <c r="B69" t="s">
        <v>3406</v>
      </c>
      <c r="C69" t="s">
        <v>3407</v>
      </c>
      <c r="D69" t="s">
        <v>3413</v>
      </c>
      <c r="E69" t="s">
        <v>3414</v>
      </c>
      <c r="F69" t="s">
        <v>3289</v>
      </c>
      <c r="G69" t="s">
        <v>2321</v>
      </c>
    </row>
    <row r="70" spans="1:7" ht="11.25" customHeight="1">
      <c r="A70" s="311" t="s">
        <v>16</v>
      </c>
      <c r="B70" t="s">
        <v>3406</v>
      </c>
      <c r="C70" t="s">
        <v>3407</v>
      </c>
      <c r="D70" t="s">
        <v>3415</v>
      </c>
      <c r="E70" t="s">
        <v>3416</v>
      </c>
      <c r="F70" t="s">
        <v>3289</v>
      </c>
      <c r="G70" t="s">
        <v>3417</v>
      </c>
    </row>
    <row r="71" spans="1:7" ht="11.25" customHeight="1">
      <c r="A71" s="311" t="s">
        <v>16</v>
      </c>
      <c r="B71" t="s">
        <v>3406</v>
      </c>
      <c r="C71" t="s">
        <v>3407</v>
      </c>
      <c r="D71" t="s">
        <v>3418</v>
      </c>
      <c r="E71" t="s">
        <v>3419</v>
      </c>
      <c r="F71" t="s">
        <v>3289</v>
      </c>
      <c r="G71" t="s">
        <v>3420</v>
      </c>
    </row>
    <row r="72" spans="1:7" ht="11.25" customHeight="1">
      <c r="A72" s="311" t="s">
        <v>16</v>
      </c>
      <c r="B72" t="s">
        <v>3406</v>
      </c>
      <c r="C72" t="s">
        <v>3407</v>
      </c>
      <c r="D72" t="s">
        <v>3406</v>
      </c>
      <c r="E72" t="s">
        <v>3407</v>
      </c>
      <c r="F72" t="s">
        <v>3290</v>
      </c>
      <c r="G72" t="s">
        <v>3421</v>
      </c>
    </row>
    <row r="73" spans="1:7" ht="11.25" customHeight="1">
      <c r="A73" s="311" t="s">
        <v>16</v>
      </c>
      <c r="B73" t="s">
        <v>3406</v>
      </c>
      <c r="C73" t="s">
        <v>3407</v>
      </c>
      <c r="D73" t="s">
        <v>3422</v>
      </c>
      <c r="E73" t="s">
        <v>3423</v>
      </c>
      <c r="F73" t="s">
        <v>3289</v>
      </c>
      <c r="G73" t="s">
        <v>3424</v>
      </c>
    </row>
    <row r="74" spans="1:7" ht="11.25" customHeight="1">
      <c r="A74" s="311" t="s">
        <v>16</v>
      </c>
      <c r="B74" t="s">
        <v>3406</v>
      </c>
      <c r="C74" t="s">
        <v>3407</v>
      </c>
      <c r="D74" t="s">
        <v>3425</v>
      </c>
      <c r="E74" t="s">
        <v>3426</v>
      </c>
      <c r="F74" t="s">
        <v>3289</v>
      </c>
      <c r="G74" t="s">
        <v>3427</v>
      </c>
    </row>
    <row r="75" spans="1:7" ht="11.25" customHeight="1">
      <c r="A75" s="311" t="s">
        <v>16</v>
      </c>
      <c r="B75" t="s">
        <v>3406</v>
      </c>
      <c r="C75" t="s">
        <v>3407</v>
      </c>
      <c r="D75" t="s">
        <v>3428</v>
      </c>
      <c r="E75" t="s">
        <v>3429</v>
      </c>
      <c r="F75" t="s">
        <v>3289</v>
      </c>
      <c r="G75" t="s">
        <v>3430</v>
      </c>
    </row>
    <row r="76" spans="1:7" ht="11.25" customHeight="1">
      <c r="A76" s="311" t="s">
        <v>16</v>
      </c>
      <c r="B76" t="s">
        <v>3431</v>
      </c>
      <c r="C76" t="s">
        <v>3432</v>
      </c>
      <c r="D76" t="s">
        <v>3431</v>
      </c>
      <c r="E76" t="s">
        <v>3432</v>
      </c>
      <c r="F76" t="s">
        <v>3275</v>
      </c>
      <c r="G76" t="s">
        <v>3433</v>
      </c>
    </row>
    <row r="77" spans="1:7" ht="11.25" customHeight="1">
      <c r="A77" s="311" t="s">
        <v>16</v>
      </c>
      <c r="B77" t="s">
        <v>3434</v>
      </c>
      <c r="C77" t="s">
        <v>3435</v>
      </c>
      <c r="D77" t="s">
        <v>3434</v>
      </c>
      <c r="E77" t="s">
        <v>3435</v>
      </c>
      <c r="F77" t="s">
        <v>3278</v>
      </c>
      <c r="G77" t="s">
        <v>3436</v>
      </c>
    </row>
    <row r="78" spans="1:7" ht="11.25" customHeight="1">
      <c r="A78" s="311" t="s">
        <v>16</v>
      </c>
      <c r="B78" t="s">
        <v>3437</v>
      </c>
      <c r="C78" t="s">
        <v>3438</v>
      </c>
      <c r="D78" t="s">
        <v>3437</v>
      </c>
      <c r="E78" t="s">
        <v>3438</v>
      </c>
      <c r="F78" t="s">
        <v>3275</v>
      </c>
      <c r="G78" t="s">
        <v>3439</v>
      </c>
    </row>
    <row r="79" spans="1:7" ht="11.25" customHeight="1">
      <c r="A79" s="311" t="s">
        <v>16</v>
      </c>
      <c r="B79" t="s">
        <v>100</v>
      </c>
      <c r="C79" t="s">
        <v>101</v>
      </c>
      <c r="D79" t="s">
        <v>100</v>
      </c>
      <c r="E79" t="s">
        <v>101</v>
      </c>
      <c r="F79" t="s">
        <v>3275</v>
      </c>
      <c r="G79" t="s">
        <v>99</v>
      </c>
    </row>
    <row r="80" spans="1:7" ht="11.25" customHeight="1">
      <c r="A80" s="311" t="s">
        <v>16</v>
      </c>
      <c r="B80" t="s">
        <v>3440</v>
      </c>
      <c r="C80" t="s">
        <v>3441</v>
      </c>
      <c r="D80" t="s">
        <v>3440</v>
      </c>
      <c r="E80" t="s">
        <v>3441</v>
      </c>
      <c r="F80" t="s">
        <v>3275</v>
      </c>
      <c r="G80" t="s">
        <v>3442</v>
      </c>
    </row>
    <row r="81" spans="1:7" ht="11.25" customHeight="1">
      <c r="A81" s="311" t="s">
        <v>16</v>
      </c>
      <c r="B81" t="s">
        <v>132</v>
      </c>
      <c r="C81" t="s">
        <v>133</v>
      </c>
      <c r="D81" t="s">
        <v>132</v>
      </c>
      <c r="E81" t="s">
        <v>133</v>
      </c>
      <c r="F81" t="s">
        <v>3275</v>
      </c>
      <c r="G81" t="s">
        <v>131</v>
      </c>
    </row>
    <row r="82" spans="1:7" ht="11.25" customHeight="1">
      <c r="A82" s="311" t="s">
        <v>16</v>
      </c>
      <c r="B82" t="s">
        <v>3443</v>
      </c>
      <c r="C82" t="s">
        <v>3444</v>
      </c>
      <c r="D82" t="s">
        <v>3445</v>
      </c>
      <c r="E82" t="s">
        <v>3446</v>
      </c>
      <c r="F82" t="s">
        <v>3289</v>
      </c>
      <c r="G82" t="s">
        <v>3447</v>
      </c>
    </row>
    <row r="83" spans="1:7" ht="11.25" customHeight="1">
      <c r="A83" s="311" t="s">
        <v>16</v>
      </c>
      <c r="B83" t="s">
        <v>3443</v>
      </c>
      <c r="C83" t="s">
        <v>3444</v>
      </c>
      <c r="D83" t="s">
        <v>3448</v>
      </c>
      <c r="E83" t="s">
        <v>3449</v>
      </c>
      <c r="F83" t="s">
        <v>3295</v>
      </c>
      <c r="G83" t="s">
        <v>3450</v>
      </c>
    </row>
    <row r="84" spans="1:7" ht="11.25" customHeight="1">
      <c r="A84" s="311" t="s">
        <v>16</v>
      </c>
      <c r="B84" t="s">
        <v>3443</v>
      </c>
      <c r="C84" t="s">
        <v>3444</v>
      </c>
      <c r="D84" t="s">
        <v>3451</v>
      </c>
      <c r="E84" t="s">
        <v>3452</v>
      </c>
      <c r="F84" t="s">
        <v>3289</v>
      </c>
      <c r="G84" t="s">
        <v>3453</v>
      </c>
    </row>
    <row r="85" spans="1:7" ht="11.25" customHeight="1">
      <c r="A85" s="311" t="s">
        <v>16</v>
      </c>
      <c r="B85" t="s">
        <v>3443</v>
      </c>
      <c r="C85" t="s">
        <v>3444</v>
      </c>
      <c r="D85" t="s">
        <v>3454</v>
      </c>
      <c r="E85" t="s">
        <v>3455</v>
      </c>
      <c r="F85" t="s">
        <v>3310</v>
      </c>
      <c r="G85" t="s">
        <v>3456</v>
      </c>
    </row>
    <row r="86" spans="1:7" ht="11.25" customHeight="1">
      <c r="A86" s="311" t="s">
        <v>16</v>
      </c>
      <c r="B86" t="s">
        <v>3443</v>
      </c>
      <c r="C86" t="s">
        <v>3444</v>
      </c>
      <c r="D86" t="s">
        <v>3457</v>
      </c>
      <c r="E86" t="s">
        <v>3458</v>
      </c>
      <c r="F86" t="s">
        <v>3289</v>
      </c>
      <c r="G86" t="s">
        <v>3459</v>
      </c>
    </row>
    <row r="87" spans="1:7" ht="11.25" customHeight="1">
      <c r="A87" s="311" t="s">
        <v>16</v>
      </c>
      <c r="B87" t="s">
        <v>3443</v>
      </c>
      <c r="C87" t="s">
        <v>3444</v>
      </c>
      <c r="D87" t="s">
        <v>3443</v>
      </c>
      <c r="E87" t="s">
        <v>3444</v>
      </c>
      <c r="F87" t="s">
        <v>3290</v>
      </c>
      <c r="G87" t="s">
        <v>3460</v>
      </c>
    </row>
    <row r="88" spans="1:7" ht="11.25" customHeight="1">
      <c r="A88" s="311" t="s">
        <v>16</v>
      </c>
      <c r="B88" t="s">
        <v>3443</v>
      </c>
      <c r="C88" t="s">
        <v>3444</v>
      </c>
      <c r="D88" t="s">
        <v>3461</v>
      </c>
      <c r="E88" t="s">
        <v>3462</v>
      </c>
      <c r="F88" t="s">
        <v>3289</v>
      </c>
      <c r="G88" t="s">
        <v>3463</v>
      </c>
    </row>
    <row r="89" spans="1:7" ht="11.25" customHeight="1">
      <c r="A89" s="311" t="s">
        <v>16</v>
      </c>
      <c r="B89" t="s">
        <v>3464</v>
      </c>
      <c r="C89" t="s">
        <v>3465</v>
      </c>
      <c r="D89" t="s">
        <v>3464</v>
      </c>
      <c r="E89" t="s">
        <v>3465</v>
      </c>
      <c r="F89" t="s">
        <v>3275</v>
      </c>
      <c r="G89" t="s">
        <v>3466</v>
      </c>
    </row>
    <row r="90" spans="1:7" ht="11.25" customHeight="1">
      <c r="A90" s="311" t="s">
        <v>16</v>
      </c>
      <c r="B90" t="s">
        <v>107</v>
      </c>
      <c r="C90" t="s">
        <v>108</v>
      </c>
      <c r="D90" t="s">
        <v>107</v>
      </c>
      <c r="E90" t="s">
        <v>108</v>
      </c>
      <c r="F90" t="s">
        <v>3275</v>
      </c>
      <c r="G90" t="s">
        <v>106</v>
      </c>
    </row>
    <row r="91" spans="1:7" ht="11.25" customHeight="1">
      <c r="A91" s="311" t="s">
        <v>16</v>
      </c>
      <c r="B91" t="s">
        <v>3467</v>
      </c>
      <c r="C91" t="s">
        <v>3468</v>
      </c>
      <c r="D91" t="s">
        <v>3469</v>
      </c>
      <c r="E91" t="s">
        <v>3470</v>
      </c>
      <c r="F91" t="s">
        <v>3289</v>
      </c>
      <c r="G91" t="s">
        <v>3471</v>
      </c>
    </row>
    <row r="92" spans="1:7" ht="11.25" customHeight="1">
      <c r="A92" s="311" t="s">
        <v>16</v>
      </c>
      <c r="B92" t="s">
        <v>3467</v>
      </c>
      <c r="C92" t="s">
        <v>3468</v>
      </c>
      <c r="D92" t="s">
        <v>3472</v>
      </c>
      <c r="E92" t="s">
        <v>3473</v>
      </c>
      <c r="F92" t="s">
        <v>3289</v>
      </c>
      <c r="G92" t="s">
        <v>3474</v>
      </c>
    </row>
    <row r="93" spans="1:7" ht="11.25" customHeight="1">
      <c r="A93" s="311" t="s">
        <v>16</v>
      </c>
      <c r="B93" t="s">
        <v>3467</v>
      </c>
      <c r="C93" t="s">
        <v>3468</v>
      </c>
      <c r="D93" t="s">
        <v>3475</v>
      </c>
      <c r="E93" t="s">
        <v>3476</v>
      </c>
      <c r="F93" t="s">
        <v>3289</v>
      </c>
      <c r="G93" t="s">
        <v>3477</v>
      </c>
    </row>
    <row r="94" spans="1:7" ht="11.25" customHeight="1">
      <c r="A94" s="311" t="s">
        <v>16</v>
      </c>
      <c r="B94" t="s">
        <v>3467</v>
      </c>
      <c r="C94" t="s">
        <v>3468</v>
      </c>
      <c r="D94" t="s">
        <v>3478</v>
      </c>
      <c r="E94" t="s">
        <v>3479</v>
      </c>
      <c r="F94" t="s">
        <v>3310</v>
      </c>
      <c r="G94" t="s">
        <v>3480</v>
      </c>
    </row>
    <row r="95" spans="1:7" ht="11.25" customHeight="1">
      <c r="A95" s="311" t="s">
        <v>16</v>
      </c>
      <c r="B95" t="s">
        <v>3467</v>
      </c>
      <c r="C95" t="s">
        <v>3468</v>
      </c>
      <c r="D95" t="s">
        <v>3481</v>
      </c>
      <c r="E95" t="s">
        <v>3482</v>
      </c>
      <c r="F95" t="s">
        <v>3289</v>
      </c>
      <c r="G95" t="s">
        <v>3483</v>
      </c>
    </row>
    <row r="96" spans="1:7" ht="11.25" customHeight="1">
      <c r="A96" s="311" t="s">
        <v>16</v>
      </c>
      <c r="B96" t="s">
        <v>3467</v>
      </c>
      <c r="C96" t="s">
        <v>3468</v>
      </c>
      <c r="D96" t="s">
        <v>3467</v>
      </c>
      <c r="E96" t="s">
        <v>3468</v>
      </c>
      <c r="F96" t="s">
        <v>3290</v>
      </c>
      <c r="G96" t="s">
        <v>3484</v>
      </c>
    </row>
    <row r="97" spans="1:7" ht="11.25" customHeight="1">
      <c r="A97" s="311" t="s">
        <v>16</v>
      </c>
      <c r="B97" t="s">
        <v>3467</v>
      </c>
      <c r="C97" t="s">
        <v>3468</v>
      </c>
      <c r="D97" t="s">
        <v>3485</v>
      </c>
      <c r="E97" t="s">
        <v>3486</v>
      </c>
      <c r="F97" t="s">
        <v>3310</v>
      </c>
      <c r="G97" t="s">
        <v>3487</v>
      </c>
    </row>
    <row r="98" spans="1:7" ht="11.25" customHeight="1">
      <c r="A98" s="311" t="s">
        <v>16</v>
      </c>
      <c r="B98" t="s">
        <v>3467</v>
      </c>
      <c r="C98" t="s">
        <v>3468</v>
      </c>
      <c r="D98" t="s">
        <v>3488</v>
      </c>
      <c r="E98" t="s">
        <v>3489</v>
      </c>
      <c r="F98" t="s">
        <v>3289</v>
      </c>
      <c r="G98" t="s">
        <v>3490</v>
      </c>
    </row>
    <row r="99" spans="1:7" ht="11.25" customHeight="1">
      <c r="A99" s="311" t="s">
        <v>16</v>
      </c>
      <c r="B99" t="s">
        <v>3491</v>
      </c>
      <c r="C99" t="s">
        <v>3492</v>
      </c>
      <c r="D99" t="s">
        <v>3491</v>
      </c>
      <c r="E99" t="s">
        <v>3492</v>
      </c>
      <c r="F99" t="s">
        <v>3275</v>
      </c>
      <c r="G99" t="s">
        <v>3493</v>
      </c>
    </row>
    <row r="100" spans="1:7" ht="11.25" customHeight="1">
      <c r="A100" s="311" t="s">
        <v>16</v>
      </c>
      <c r="B100" t="s">
        <v>3494</v>
      </c>
      <c r="C100" t="s">
        <v>3495</v>
      </c>
      <c r="D100" t="s">
        <v>3496</v>
      </c>
      <c r="E100" t="s">
        <v>3497</v>
      </c>
      <c r="F100" t="s">
        <v>3289</v>
      </c>
      <c r="G100" t="s">
        <v>3498</v>
      </c>
    </row>
    <row r="101" spans="1:7" ht="11.25" customHeight="1">
      <c r="A101" s="311" t="s">
        <v>16</v>
      </c>
      <c r="B101" t="s">
        <v>3494</v>
      </c>
      <c r="C101" t="s">
        <v>3495</v>
      </c>
      <c r="D101" t="s">
        <v>3499</v>
      </c>
      <c r="E101" t="s">
        <v>3500</v>
      </c>
      <c r="F101" t="s">
        <v>3289</v>
      </c>
      <c r="G101" t="s">
        <v>3501</v>
      </c>
    </row>
    <row r="102" spans="1:7" ht="11.25" customHeight="1">
      <c r="A102" s="311" t="s">
        <v>16</v>
      </c>
      <c r="B102" t="s">
        <v>3494</v>
      </c>
      <c r="C102" t="s">
        <v>3495</v>
      </c>
      <c r="D102" t="s">
        <v>3502</v>
      </c>
      <c r="E102" t="s">
        <v>3503</v>
      </c>
      <c r="F102" t="s">
        <v>3289</v>
      </c>
      <c r="G102" t="s">
        <v>3504</v>
      </c>
    </row>
    <row r="103" spans="1:7" ht="11.25" customHeight="1">
      <c r="A103" s="311" t="s">
        <v>16</v>
      </c>
      <c r="B103" t="s">
        <v>3494</v>
      </c>
      <c r="C103" t="s">
        <v>3495</v>
      </c>
      <c r="D103" t="s">
        <v>3505</v>
      </c>
      <c r="E103" t="s">
        <v>3506</v>
      </c>
      <c r="F103" t="s">
        <v>3289</v>
      </c>
      <c r="G103" t="s">
        <v>3507</v>
      </c>
    </row>
    <row r="104" spans="1:7" ht="11.25" customHeight="1">
      <c r="A104" s="311" t="s">
        <v>16</v>
      </c>
      <c r="B104" t="s">
        <v>3494</v>
      </c>
      <c r="C104" t="s">
        <v>3495</v>
      </c>
      <c r="D104" t="s">
        <v>3494</v>
      </c>
      <c r="E104" t="s">
        <v>3495</v>
      </c>
      <c r="F104" t="s">
        <v>3290</v>
      </c>
      <c r="G104" t="s">
        <v>3508</v>
      </c>
    </row>
    <row r="105" spans="1:7" ht="11.25" customHeight="1">
      <c r="A105" s="311" t="s">
        <v>16</v>
      </c>
      <c r="B105" t="s">
        <v>3494</v>
      </c>
      <c r="C105" t="s">
        <v>3495</v>
      </c>
      <c r="D105" t="s">
        <v>3509</v>
      </c>
      <c r="E105" t="s">
        <v>3510</v>
      </c>
      <c r="F105" t="s">
        <v>3289</v>
      </c>
      <c r="G105" t="s">
        <v>3511</v>
      </c>
    </row>
    <row r="106" spans="1:7" ht="11.25" customHeight="1">
      <c r="A106" s="311" t="s">
        <v>16</v>
      </c>
      <c r="B106" t="s">
        <v>3512</v>
      </c>
      <c r="C106" t="s">
        <v>3513</v>
      </c>
      <c r="D106" t="s">
        <v>3512</v>
      </c>
      <c r="E106" t="s">
        <v>3513</v>
      </c>
      <c r="F106" t="s">
        <v>3278</v>
      </c>
      <c r="G106" t="s">
        <v>3514</v>
      </c>
    </row>
    <row r="107" spans="1:7" ht="11.25" customHeight="1">
      <c r="A107" s="311" t="s">
        <v>16</v>
      </c>
      <c r="B107" t="s">
        <v>124</v>
      </c>
      <c r="C107" t="s">
        <v>125</v>
      </c>
      <c r="D107" t="s">
        <v>124</v>
      </c>
      <c r="E107" t="s">
        <v>125</v>
      </c>
      <c r="F107" t="s">
        <v>3278</v>
      </c>
      <c r="G107" t="s">
        <v>123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5288" customWidth="1"/>
    <col min="2" max="2" width="10.42578125" style="5288" customWidth="1"/>
    <col min="3" max="3" width="7.5703125" style="5288" customWidth="1"/>
    <col min="4" max="4" width="13.85546875" style="5288" customWidth="1"/>
    <col min="5" max="5" width="11.5703125" style="5288" customWidth="1"/>
    <col min="6" max="6" width="16.28515625" style="5288" customWidth="1"/>
    <col min="7" max="7" width="16" style="5288" customWidth="1"/>
    <col min="8" max="9" width="16.140625" style="5288" customWidth="1"/>
  </cols>
  <sheetData>
    <row r="1" spans="1:9" ht="11.25" customHeight="1">
      <c r="A1" s="767" t="s">
        <v>3515</v>
      </c>
      <c r="B1" s="767" t="s">
        <v>3516</v>
      </c>
      <c r="C1" s="1080" t="s">
        <v>3517</v>
      </c>
      <c r="D1" s="767" t="s">
        <v>3518</v>
      </c>
      <c r="E1" s="767" t="s">
        <v>3519</v>
      </c>
      <c r="F1" s="1080" t="s">
        <v>3520</v>
      </c>
      <c r="G1" s="1080" t="s">
        <v>3521</v>
      </c>
      <c r="H1" s="1080" t="s">
        <v>3522</v>
      </c>
      <c r="I1" s="1080" t="s">
        <v>3523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4265" hidden="1" customWidth="1"/>
    <col min="2" max="2" width="9.140625" style="4267" hidden="1" customWidth="1"/>
    <col min="3" max="3" width="3" style="4280" customWidth="1"/>
    <col min="4" max="4" width="5" style="4267" customWidth="1"/>
    <col min="5" max="5" width="48" style="4267" customWidth="1"/>
    <col min="6" max="6" width="38" style="4267" customWidth="1"/>
    <col min="7" max="7" width="1.7109375" style="4267" hidden="1" customWidth="1"/>
    <col min="8" max="11" width="19.85546875" style="4267" hidden="1" customWidth="1"/>
    <col min="12" max="12" width="9.7109375" style="4267" hidden="1" customWidth="1"/>
    <col min="13" max="18" width="19.85546875" style="4267" hidden="1" customWidth="1"/>
    <col min="19" max="19" width="1.7109375" style="4267" hidden="1" customWidth="1"/>
    <col min="20" max="22" width="19.85546875" style="4267" customWidth="1"/>
    <col min="23" max="23" width="1.7109375" style="4267" hidden="1" customWidth="1"/>
    <col min="24" max="26" width="19.85546875" style="4267" hidden="1" customWidth="1"/>
    <col min="27" max="27" width="1.7109375" style="4267" hidden="1" customWidth="1"/>
    <col min="28" max="29" width="19.85546875" style="4267" hidden="1" customWidth="1"/>
    <col min="30" max="30" width="1.7109375" style="4267" hidden="1" customWidth="1"/>
    <col min="31" max="31" width="103.7109375" style="4267" hidden="1" customWidth="1"/>
    <col min="32" max="32" width="103.7109375" style="4267" customWidth="1"/>
    <col min="33" max="34" width="103.7109375" style="4267" hidden="1" customWidth="1"/>
    <col min="35" max="35" width="3" style="4277" customWidth="1"/>
    <col min="36" max="38" width="10" style="4275" customWidth="1"/>
    <col min="39" max="39" width="13.7109375" style="4275" hidden="1" customWidth="1"/>
    <col min="40" max="40" width="15" style="4275" customWidth="1"/>
    <col min="41" max="41" width="16" style="4275" customWidth="1"/>
    <col min="42" max="45" width="10" style="4275" customWidth="1"/>
    <col min="46" max="46" width="10.5703125" style="4267" hidden="1"/>
  </cols>
  <sheetData>
    <row r="1" spans="1:46" ht="22.5" hidden="1" customHeight="1">
      <c r="E1" s="350"/>
      <c r="F1" s="350"/>
      <c r="G1" s="350"/>
      <c r="H1" s="5316" t="s">
        <v>445</v>
      </c>
      <c r="I1" s="5316"/>
      <c r="J1" s="5316"/>
      <c r="K1" s="5316"/>
      <c r="L1" s="5316"/>
      <c r="M1" s="5316"/>
      <c r="N1" s="5316"/>
      <c r="O1" s="5316"/>
      <c r="P1" s="5316"/>
      <c r="Q1" s="5316"/>
      <c r="R1" s="5316"/>
      <c r="T1" s="5316" t="s">
        <v>446</v>
      </c>
      <c r="U1" s="5316"/>
      <c r="V1" s="5316"/>
      <c r="X1" s="5316" t="s">
        <v>447</v>
      </c>
      <c r="Y1" s="5316"/>
      <c r="Z1" s="5316"/>
      <c r="AB1" s="5316" t="s">
        <v>448</v>
      </c>
      <c r="AC1" s="5316"/>
      <c r="AT1" s="385" t="s">
        <v>14</v>
      </c>
    </row>
    <row r="2" spans="1:46" ht="14.25" hidden="1" customHeight="1">
      <c r="AT2" s="385">
        <v>0</v>
      </c>
    </row>
    <row r="3" spans="1:46" s="4298" customFormat="1" ht="5.25" customHeight="1">
      <c r="C3" s="639"/>
      <c r="D3" s="640"/>
      <c r="E3" s="640"/>
      <c r="F3" s="640"/>
      <c r="G3" s="640"/>
      <c r="H3" s="640" t="s">
        <v>449</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5383" t="str">
        <f>ORG_VD_NAME_FORM</f>
        <v>Форма 1. Информация об организации, осуществляющей водоотведение (общая информация)</v>
      </c>
      <c r="E4" s="5384"/>
      <c r="F4" s="5384"/>
      <c r="G4" s="5384"/>
      <c r="H4" s="5384"/>
      <c r="I4" s="5384"/>
      <c r="J4" s="5384"/>
      <c r="K4" s="5384"/>
      <c r="L4" s="5384"/>
      <c r="M4" s="5384"/>
      <c r="N4" s="5384"/>
      <c r="O4" s="5384"/>
      <c r="P4" s="5384"/>
      <c r="Q4" s="5384"/>
      <c r="R4" s="5385"/>
      <c r="S4" s="781"/>
      <c r="T4" s="637"/>
      <c r="U4" s="637"/>
      <c r="V4" s="637"/>
      <c r="W4" s="637"/>
      <c r="X4" s="637"/>
      <c r="Y4" s="637"/>
      <c r="Z4" s="637"/>
      <c r="AA4" s="637"/>
      <c r="AB4" s="637"/>
      <c r="AC4" s="637"/>
      <c r="AD4" s="637"/>
      <c r="AE4" s="429"/>
      <c r="AF4" s="429"/>
      <c r="AG4" s="429"/>
      <c r="AH4" s="429"/>
      <c r="AI4" s="426"/>
      <c r="AT4" s="385">
        <v>38</v>
      </c>
    </row>
    <row r="5" spans="1:46" s="4267" customFormat="1" ht="18" customHeight="1">
      <c r="A5" s="695"/>
      <c r="C5" s="754"/>
      <c r="D5" s="5445" t="str">
        <f>IF(org=0,"Не определено",org)</f>
        <v>КГУП "Примтеплоэнерго"</v>
      </c>
      <c r="E5" s="5446"/>
      <c r="F5" s="5446"/>
      <c r="G5" s="5446"/>
      <c r="H5" s="5446"/>
      <c r="I5" s="5446"/>
      <c r="J5" s="5446"/>
      <c r="K5" s="5446"/>
      <c r="L5" s="5446"/>
      <c r="M5" s="5446"/>
      <c r="N5" s="5446"/>
      <c r="O5" s="5446"/>
      <c r="P5" s="5446"/>
      <c r="Q5" s="5446"/>
      <c r="R5" s="5447"/>
      <c r="S5" s="781"/>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4266"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5436" t="s">
        <v>393</v>
      </c>
      <c r="E7" s="5448"/>
      <c r="F7" s="5448"/>
      <c r="G7" s="5448"/>
      <c r="H7" s="5448"/>
      <c r="I7" s="5448"/>
      <c r="J7" s="5448"/>
      <c r="K7" s="5448"/>
      <c r="L7" s="5448"/>
      <c r="M7" s="5448"/>
      <c r="N7" s="5448"/>
      <c r="O7" s="5448"/>
      <c r="P7" s="5448"/>
      <c r="Q7" s="5448"/>
      <c r="R7" s="5448"/>
      <c r="S7" s="5448"/>
      <c r="T7" s="5448"/>
      <c r="U7" s="5448"/>
      <c r="V7" s="5448"/>
      <c r="W7" s="5448"/>
      <c r="X7" s="5448"/>
      <c r="Y7" s="5448"/>
      <c r="Z7" s="5448"/>
      <c r="AA7" s="5448"/>
      <c r="AB7" s="5448"/>
      <c r="AC7" s="5448"/>
      <c r="AD7" s="5449"/>
      <c r="AE7" s="5390" t="s">
        <v>394</v>
      </c>
      <c r="AF7" s="5390" t="s">
        <v>394</v>
      </c>
      <c r="AG7" s="5390" t="s">
        <v>394</v>
      </c>
      <c r="AH7" s="5390" t="s">
        <v>394</v>
      </c>
      <c r="AT7" s="385">
        <v>14</v>
      </c>
    </row>
    <row r="8" spans="1:46" ht="27.4" customHeight="1">
      <c r="C8" s="388"/>
      <c r="D8" s="5328" t="s">
        <v>88</v>
      </c>
      <c r="E8" s="5390" t="str">
        <f>"Наименование "&amp;IF(TEMPLATE_SPHERE&lt;&gt;"HEAT","централизованной ","")&amp;"системы "&amp;TEMPLATE_SPHERE_RUS</f>
        <v>Наименование централизованной системы водоотведения</v>
      </c>
      <c r="F8" s="5390" t="str">
        <f>IF(TEMPLATE_SPHERE&lt;&gt;"HEAT","Регулируемый вид деятельности","Вид регулируемой деятельности")</f>
        <v>Регулируемый вид деятельности</v>
      </c>
      <c r="G8" s="760"/>
      <c r="H8" s="5437" t="s">
        <v>450</v>
      </c>
      <c r="I8" s="5441" t="s">
        <v>451</v>
      </c>
      <c r="J8" s="5390" t="s">
        <v>452</v>
      </c>
      <c r="K8" s="5390"/>
      <c r="L8" s="5390"/>
      <c r="M8" s="5436"/>
      <c r="N8" s="5390" t="s">
        <v>453</v>
      </c>
      <c r="O8" s="5390"/>
      <c r="P8" s="5390" t="s">
        <v>454</v>
      </c>
      <c r="Q8" s="5390"/>
      <c r="R8" s="5439" t="s">
        <v>455</v>
      </c>
      <c r="S8" s="756"/>
      <c r="T8" s="5437" t="s">
        <v>456</v>
      </c>
      <c r="U8" s="5437" t="s">
        <v>457</v>
      </c>
      <c r="V8" s="5437" t="s">
        <v>458</v>
      </c>
      <c r="W8" s="758"/>
      <c r="X8" s="5437" t="s">
        <v>459</v>
      </c>
      <c r="Y8" s="5437" t="s">
        <v>460</v>
      </c>
      <c r="Z8" s="5437" t="s">
        <v>461</v>
      </c>
      <c r="AA8" s="758"/>
      <c r="AB8" s="5437" t="s">
        <v>462</v>
      </c>
      <c r="AC8" s="5437" t="s">
        <v>455</v>
      </c>
      <c r="AD8" s="758"/>
      <c r="AE8" s="5390"/>
      <c r="AF8" s="5390"/>
      <c r="AG8" s="5390"/>
      <c r="AH8" s="5390"/>
      <c r="AT8" s="385">
        <v>26</v>
      </c>
    </row>
    <row r="9" spans="1:46" ht="46.15" customHeight="1">
      <c r="C9" s="388"/>
      <c r="D9" s="5328"/>
      <c r="E9" s="5390"/>
      <c r="F9" s="5390"/>
      <c r="G9" s="761"/>
      <c r="H9" s="5438"/>
      <c r="I9" s="5442"/>
      <c r="J9" s="363" t="s">
        <v>463</v>
      </c>
      <c r="K9" s="363" t="s">
        <v>464</v>
      </c>
      <c r="L9" s="363" t="s">
        <v>465</v>
      </c>
      <c r="M9" s="369" t="s">
        <v>466</v>
      </c>
      <c r="N9" s="363" t="s">
        <v>467</v>
      </c>
      <c r="O9" s="363" t="s">
        <v>466</v>
      </c>
      <c r="P9" s="363" t="s">
        <v>468</v>
      </c>
      <c r="Q9" s="363" t="s">
        <v>466</v>
      </c>
      <c r="R9" s="5440"/>
      <c r="S9" s="757"/>
      <c r="T9" s="5438"/>
      <c r="U9" s="5438"/>
      <c r="V9" s="5438"/>
      <c r="W9" s="759"/>
      <c r="X9" s="5438"/>
      <c r="Y9" s="5438"/>
      <c r="Z9" s="5438"/>
      <c r="AA9" s="759"/>
      <c r="AB9" s="5438"/>
      <c r="AC9" s="5438"/>
      <c r="AD9" s="759"/>
      <c r="AE9" s="5390"/>
      <c r="AF9" s="5390"/>
      <c r="AG9" s="5390"/>
      <c r="AH9" s="5390"/>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4299" customFormat="1" ht="11.25" hidden="1" customHeight="1">
      <c r="C11" s="436"/>
      <c r="D11" s="437" t="s">
        <v>469</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136</v>
      </c>
      <c r="E12" s="1697" t="s">
        <v>28</v>
      </c>
      <c r="F12" s="783"/>
      <c r="G12" s="784"/>
      <c r="H12" s="1698"/>
      <c r="I12" s="1698"/>
      <c r="J12" s="371"/>
      <c r="K12" s="1781"/>
      <c r="L12" s="370"/>
      <c r="M12" s="1781"/>
      <c r="N12" s="371"/>
      <c r="O12" s="1781"/>
      <c r="P12" s="371"/>
      <c r="Q12" s="1781"/>
      <c r="R12" s="371"/>
      <c r="S12" s="782"/>
      <c r="T12" s="1698"/>
      <c r="U12" s="371"/>
      <c r="V12" s="371"/>
      <c r="W12" s="759"/>
      <c r="X12" s="1698"/>
      <c r="Y12" s="371"/>
      <c r="Z12" s="371"/>
      <c r="AA12" s="759"/>
      <c r="AB12" s="1698"/>
      <c r="AC12" s="371"/>
      <c r="AD12" s="759"/>
      <c r="AE12" s="5443" t="s">
        <v>470</v>
      </c>
      <c r="AF12" s="5443" t="s">
        <v>471</v>
      </c>
      <c r="AG12" s="5443" t="s">
        <v>472</v>
      </c>
      <c r="AH12" s="5443" t="s">
        <v>473</v>
      </c>
      <c r="AI12" s="385"/>
      <c r="AM12" s="449"/>
      <c r="AP12" s="438" t="s">
        <v>474</v>
      </c>
      <c r="AQ12" s="438" t="s">
        <v>474</v>
      </c>
      <c r="AT12" s="385">
        <v>14</v>
      </c>
    </row>
    <row r="13" spans="1:46" ht="18" customHeight="1">
      <c r="A13" s="385"/>
      <c r="C13" s="388"/>
      <c r="D13" s="343"/>
      <c r="E13" s="797" t="str">
        <f>IF(TITLE_DIFFERENTIATION_TYPE="нет","","Добавить систему")</f>
        <v/>
      </c>
      <c r="F13" s="797"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5"/>
      <c r="AE13" s="5444"/>
      <c r="AF13" s="5444"/>
      <c r="AG13" s="5444"/>
      <c r="AH13" s="5444"/>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82</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0"/>
  <sheetViews>
    <sheetView showGridLines="0" workbookViewId="0"/>
  </sheetViews>
  <sheetFormatPr defaultColWidth="9.140625" defaultRowHeight="11.25" customHeight="1"/>
  <cols>
    <col min="1" max="2" width="9.140625" style="5289"/>
  </cols>
  <sheetData>
    <row r="1" spans="1:2" ht="11.25" customHeight="1">
      <c r="A1" s="121" t="s">
        <v>162</v>
      </c>
      <c r="B1" s="121" t="s">
        <v>3524</v>
      </c>
    </row>
    <row r="2" spans="1:2" ht="11.25" customHeight="1">
      <c r="A2" s="4262" t="s">
        <v>98</v>
      </c>
      <c r="B2" s="4262" t="s">
        <v>3525</v>
      </c>
    </row>
    <row r="3" spans="1:2" ht="11.25" customHeight="1">
      <c r="A3" s="4262" t="s">
        <v>105</v>
      </c>
      <c r="B3" s="4262" t="s">
        <v>3526</v>
      </c>
    </row>
    <row r="4" spans="1:2" ht="11.25" customHeight="1">
      <c r="A4" s="4262" t="s">
        <v>109</v>
      </c>
      <c r="B4" s="4262" t="s">
        <v>3527</v>
      </c>
    </row>
    <row r="5" spans="1:2" ht="11.25" customHeight="1">
      <c r="A5" s="4262" t="s">
        <v>113</v>
      </c>
      <c r="B5" s="4262" t="s">
        <v>3528</v>
      </c>
    </row>
    <row r="6" spans="1:2" ht="11.25" customHeight="1">
      <c r="A6" s="4262" t="s">
        <v>117</v>
      </c>
      <c r="B6" s="4262" t="s">
        <v>3529</v>
      </c>
    </row>
    <row r="7" spans="1:2" ht="11.25" customHeight="1">
      <c r="A7" s="4262" t="s">
        <v>122</v>
      </c>
      <c r="B7" s="4262" t="s">
        <v>3530</v>
      </c>
    </row>
    <row r="8" spans="1:2" ht="11.25" customHeight="1">
      <c r="A8" s="4262" t="s">
        <v>126</v>
      </c>
      <c r="B8" s="4262" t="s">
        <v>3531</v>
      </c>
    </row>
    <row r="9" spans="1:2" ht="11.25" customHeight="1">
      <c r="A9" s="4262" t="s">
        <v>130</v>
      </c>
      <c r="B9" s="4262" t="s">
        <v>3532</v>
      </c>
    </row>
    <row r="10" spans="1:2" ht="11.25" customHeight="1">
      <c r="A10" s="4262" t="s">
        <v>135</v>
      </c>
      <c r="B10" s="4262" t="s">
        <v>3533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5288"/>
    <col min="2" max="2" width="65.28515625" style="5288" customWidth="1"/>
  </cols>
  <sheetData>
    <row r="1" spans="1:2" ht="11.25" customHeight="1">
      <c r="A1" s="767" t="s">
        <v>3534</v>
      </c>
      <c r="B1" s="767" t="s">
        <v>3535</v>
      </c>
    </row>
    <row r="2" spans="1:2" ht="11.25" customHeight="1">
      <c r="A2" s="767">
        <v>4213775</v>
      </c>
      <c r="B2" s="767" t="s">
        <v>1319</v>
      </c>
    </row>
    <row r="3" spans="1:2" ht="11.25" customHeight="1">
      <c r="A3" s="767">
        <v>4213784</v>
      </c>
      <c r="B3" s="767" t="s">
        <v>1352</v>
      </c>
    </row>
    <row r="4" spans="1:2" ht="11.25" customHeight="1">
      <c r="A4" s="767">
        <v>4213781</v>
      </c>
      <c r="B4" s="767" t="s">
        <v>1345</v>
      </c>
    </row>
    <row r="5" spans="1:2" ht="11.25" customHeight="1">
      <c r="A5" s="767">
        <v>4213776</v>
      </c>
      <c r="B5" s="767" t="s">
        <v>197</v>
      </c>
    </row>
    <row r="6" spans="1:2" ht="11.25" customHeight="1">
      <c r="A6" s="767">
        <v>4213777</v>
      </c>
      <c r="B6" s="767" t="s">
        <v>203</v>
      </c>
    </row>
    <row r="7" spans="1:2" ht="11.25" customHeight="1">
      <c r="A7" s="767">
        <v>4213778</v>
      </c>
      <c r="B7" s="767" t="s">
        <v>209</v>
      </c>
    </row>
    <row r="8" spans="1:2" ht="11.25" customHeight="1">
      <c r="A8" s="767">
        <v>4213780</v>
      </c>
      <c r="B8" s="767" t="s">
        <v>215</v>
      </c>
    </row>
    <row r="9" spans="1:2" ht="11.25" customHeight="1">
      <c r="A9" s="767">
        <v>4213779</v>
      </c>
      <c r="B9" s="767" t="s">
        <v>1486</v>
      </c>
    </row>
    <row r="10" spans="1:2" ht="11.25" customHeight="1">
      <c r="A10" s="767">
        <v>4213783</v>
      </c>
      <c r="B10" s="767" t="s">
        <v>1501</v>
      </c>
    </row>
    <row r="11" spans="1:2" ht="11.25" customHeight="1">
      <c r="A11" s="767">
        <v>4213782</v>
      </c>
      <c r="B11" s="767" t="s">
        <v>221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5288"/>
    <col min="2" max="2" width="65.28515625" style="5288" customWidth="1"/>
  </cols>
  <sheetData>
    <row r="1" spans="1:2" ht="11.25" customHeight="1">
      <c r="A1" s="767" t="s">
        <v>3534</v>
      </c>
      <c r="B1" s="767" t="s">
        <v>3536</v>
      </c>
    </row>
    <row r="2" spans="1:2" ht="11.25" customHeight="1">
      <c r="A2" s="767" t="s">
        <v>3537</v>
      </c>
      <c r="B2" s="767" t="s">
        <v>1601</v>
      </c>
    </row>
    <row r="3" spans="1:2" ht="11.25" customHeight="1">
      <c r="A3" s="767" t="s">
        <v>3538</v>
      </c>
      <c r="B3" s="767" t="s">
        <v>1610</v>
      </c>
    </row>
    <row r="4" spans="1:2" ht="11.25" customHeight="1">
      <c r="A4" s="767" t="s">
        <v>3539</v>
      </c>
      <c r="B4" s="767" t="s">
        <v>1620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11" t="s">
        <v>3268</v>
      </c>
      <c r="B1" s="311" t="s">
        <v>3269</v>
      </c>
      <c r="C1" s="311" t="s">
        <v>3270</v>
      </c>
      <c r="D1" s="311" t="s">
        <v>3271</v>
      </c>
      <c r="E1" t="s">
        <v>3272</v>
      </c>
      <c r="F1" t="s">
        <v>3273</v>
      </c>
      <c r="G1" t="s">
        <v>3274</v>
      </c>
    </row>
    <row r="2" spans="1:7" ht="11.25" customHeight="1">
      <c r="A2" t="s">
        <v>16</v>
      </c>
      <c r="B2" t="s">
        <v>137</v>
      </c>
      <c r="C2" t="s">
        <v>138</v>
      </c>
      <c r="D2" t="s">
        <v>137</v>
      </c>
      <c r="E2" t="s">
        <v>138</v>
      </c>
      <c r="F2" t="s">
        <v>3275</v>
      </c>
      <c r="G2" t="s">
        <v>136</v>
      </c>
    </row>
    <row r="3" spans="1:7" ht="11.25" customHeight="1">
      <c r="A3" t="s">
        <v>16</v>
      </c>
      <c r="B3" t="s">
        <v>3276</v>
      </c>
      <c r="C3" t="s">
        <v>3277</v>
      </c>
      <c r="D3" t="s">
        <v>3276</v>
      </c>
      <c r="E3" t="s">
        <v>3277</v>
      </c>
      <c r="F3" t="s">
        <v>3278</v>
      </c>
      <c r="G3" t="s">
        <v>103</v>
      </c>
    </row>
    <row r="4" spans="1:7" ht="11.25" customHeight="1">
      <c r="A4" t="s">
        <v>16</v>
      </c>
      <c r="B4" t="s">
        <v>3279</v>
      </c>
      <c r="C4" t="s">
        <v>3280</v>
      </c>
      <c r="D4" t="s">
        <v>3279</v>
      </c>
      <c r="E4" t="s">
        <v>3280</v>
      </c>
      <c r="F4" t="s">
        <v>3278</v>
      </c>
      <c r="G4" t="s">
        <v>90</v>
      </c>
    </row>
    <row r="5" spans="1:7" ht="11.25" customHeight="1">
      <c r="A5" t="s">
        <v>16</v>
      </c>
      <c r="B5" t="s">
        <v>3281</v>
      </c>
      <c r="C5" t="s">
        <v>3282</v>
      </c>
      <c r="D5" t="s">
        <v>3281</v>
      </c>
      <c r="E5" t="s">
        <v>3282</v>
      </c>
      <c r="F5" t="s">
        <v>3278</v>
      </c>
      <c r="G5" t="s">
        <v>91</v>
      </c>
    </row>
    <row r="6" spans="1:7" ht="11.25" customHeight="1">
      <c r="A6" t="s">
        <v>16</v>
      </c>
      <c r="B6" t="s">
        <v>127</v>
      </c>
      <c r="C6" t="s">
        <v>128</v>
      </c>
      <c r="D6" t="s">
        <v>127</v>
      </c>
      <c r="E6" t="s">
        <v>128</v>
      </c>
      <c r="F6" t="s">
        <v>3278</v>
      </c>
      <c r="G6" t="s">
        <v>116</v>
      </c>
    </row>
    <row r="7" spans="1:7" ht="11.25" customHeight="1">
      <c r="A7" t="s">
        <v>16</v>
      </c>
      <c r="B7" t="s">
        <v>114</v>
      </c>
      <c r="C7" t="s">
        <v>115</v>
      </c>
      <c r="D7" t="s">
        <v>114</v>
      </c>
      <c r="E7" t="s">
        <v>115</v>
      </c>
      <c r="F7" t="s">
        <v>3278</v>
      </c>
      <c r="G7" t="s">
        <v>92</v>
      </c>
    </row>
    <row r="8" spans="1:7" ht="11.25" customHeight="1">
      <c r="A8" t="s">
        <v>16</v>
      </c>
      <c r="B8" t="s">
        <v>3285</v>
      </c>
      <c r="C8" t="s">
        <v>3286</v>
      </c>
      <c r="D8" t="s">
        <v>3287</v>
      </c>
      <c r="E8" t="s">
        <v>3288</v>
      </c>
      <c r="F8" t="s">
        <v>3289</v>
      </c>
      <c r="G8" t="s">
        <v>129</v>
      </c>
    </row>
    <row r="9" spans="1:7" ht="11.25" customHeight="1">
      <c r="A9" t="s">
        <v>16</v>
      </c>
      <c r="B9" t="s">
        <v>3285</v>
      </c>
      <c r="C9" t="s">
        <v>3286</v>
      </c>
      <c r="D9" t="s">
        <v>3285</v>
      </c>
      <c r="E9" t="s">
        <v>3286</v>
      </c>
      <c r="F9" t="s">
        <v>3290</v>
      </c>
      <c r="G9" t="s">
        <v>134</v>
      </c>
    </row>
    <row r="10" spans="1:7" ht="11.25" customHeight="1">
      <c r="A10" t="s">
        <v>16</v>
      </c>
      <c r="B10" t="s">
        <v>3285</v>
      </c>
      <c r="C10" t="s">
        <v>3286</v>
      </c>
      <c r="D10" t="s">
        <v>3291</v>
      </c>
      <c r="E10" t="s">
        <v>3292</v>
      </c>
      <c r="F10" t="s">
        <v>3289</v>
      </c>
      <c r="G10" t="s">
        <v>180</v>
      </c>
    </row>
    <row r="11" spans="1:7" ht="11.25" customHeight="1">
      <c r="A11" t="s">
        <v>16</v>
      </c>
      <c r="B11" t="s">
        <v>3285</v>
      </c>
      <c r="C11" t="s">
        <v>3286</v>
      </c>
      <c r="D11" t="s">
        <v>3293</v>
      </c>
      <c r="E11" t="s">
        <v>3294</v>
      </c>
      <c r="F11" t="s">
        <v>3295</v>
      </c>
      <c r="G11" t="s">
        <v>181</v>
      </c>
    </row>
    <row r="12" spans="1:7" ht="11.25" customHeight="1">
      <c r="A12" t="s">
        <v>16</v>
      </c>
      <c r="B12" t="s">
        <v>3285</v>
      </c>
      <c r="C12" t="s">
        <v>3286</v>
      </c>
      <c r="D12" t="s">
        <v>3296</v>
      </c>
      <c r="E12" t="s">
        <v>3297</v>
      </c>
      <c r="F12" t="s">
        <v>3289</v>
      </c>
      <c r="G12" t="s">
        <v>182</v>
      </c>
    </row>
    <row r="13" spans="1:7" ht="11.25" customHeight="1">
      <c r="A13" t="s">
        <v>16</v>
      </c>
      <c r="B13" t="s">
        <v>3285</v>
      </c>
      <c r="C13" t="s">
        <v>3286</v>
      </c>
      <c r="D13" t="s">
        <v>3298</v>
      </c>
      <c r="E13" t="s">
        <v>3299</v>
      </c>
      <c r="F13" t="s">
        <v>3289</v>
      </c>
      <c r="G13" t="s">
        <v>183</v>
      </c>
    </row>
    <row r="14" spans="1:7" ht="11.25" customHeight="1">
      <c r="A14" t="s">
        <v>16</v>
      </c>
      <c r="B14" t="s">
        <v>3285</v>
      </c>
      <c r="C14" t="s">
        <v>3286</v>
      </c>
      <c r="D14" t="s">
        <v>3300</v>
      </c>
      <c r="E14" t="s">
        <v>3301</v>
      </c>
      <c r="F14" t="s">
        <v>3289</v>
      </c>
      <c r="G14" t="s">
        <v>184</v>
      </c>
    </row>
    <row r="15" spans="1:7" ht="11.25" customHeight="1">
      <c r="A15" t="s">
        <v>16</v>
      </c>
      <c r="B15" t="s">
        <v>3285</v>
      </c>
      <c r="C15" t="s">
        <v>3286</v>
      </c>
      <c r="D15" t="s">
        <v>3302</v>
      </c>
      <c r="E15" t="s">
        <v>3303</v>
      </c>
      <c r="F15" t="s">
        <v>3289</v>
      </c>
      <c r="G15" t="s">
        <v>1561</v>
      </c>
    </row>
    <row r="16" spans="1:7" ht="11.25" customHeight="1">
      <c r="A16" t="s">
        <v>16</v>
      </c>
      <c r="B16" t="s">
        <v>111</v>
      </c>
      <c r="C16" t="s">
        <v>112</v>
      </c>
      <c r="D16" t="s">
        <v>111</v>
      </c>
      <c r="E16" t="s">
        <v>112</v>
      </c>
      <c r="F16" t="s">
        <v>3275</v>
      </c>
      <c r="G16" t="s">
        <v>110</v>
      </c>
    </row>
    <row r="17" spans="1:7" ht="11.25" customHeight="1">
      <c r="A17" t="s">
        <v>16</v>
      </c>
      <c r="B17" t="s">
        <v>3304</v>
      </c>
      <c r="C17" t="s">
        <v>3305</v>
      </c>
      <c r="D17" t="s">
        <v>3306</v>
      </c>
      <c r="E17" t="s">
        <v>3307</v>
      </c>
      <c r="F17" t="s">
        <v>3289</v>
      </c>
      <c r="G17" t="s">
        <v>1578</v>
      </c>
    </row>
    <row r="18" spans="1:7" ht="11.25" customHeight="1">
      <c r="A18" t="s">
        <v>16</v>
      </c>
      <c r="B18" t="s">
        <v>3304</v>
      </c>
      <c r="C18" t="s">
        <v>3305</v>
      </c>
      <c r="D18" t="s">
        <v>3308</v>
      </c>
      <c r="E18" t="s">
        <v>3309</v>
      </c>
      <c r="F18" t="s">
        <v>3310</v>
      </c>
      <c r="G18" t="s">
        <v>1592</v>
      </c>
    </row>
    <row r="19" spans="1:7" ht="11.25" customHeight="1">
      <c r="A19" t="s">
        <v>16</v>
      </c>
      <c r="B19" t="s">
        <v>3304</v>
      </c>
      <c r="C19" t="s">
        <v>3305</v>
      </c>
      <c r="D19" t="s">
        <v>3304</v>
      </c>
      <c r="E19" t="s">
        <v>3305</v>
      </c>
      <c r="F19" t="s">
        <v>3290</v>
      </c>
      <c r="G19" t="s">
        <v>1604</v>
      </c>
    </row>
    <row r="20" spans="1:7" ht="11.25" customHeight="1">
      <c r="A20" t="s">
        <v>16</v>
      </c>
      <c r="B20" t="s">
        <v>3304</v>
      </c>
      <c r="C20" t="s">
        <v>3305</v>
      </c>
      <c r="D20" t="s">
        <v>3311</v>
      </c>
      <c r="E20" t="s">
        <v>3312</v>
      </c>
      <c r="F20" t="s">
        <v>3310</v>
      </c>
      <c r="G20" t="s">
        <v>1613</v>
      </c>
    </row>
    <row r="21" spans="1:7" ht="11.25" customHeight="1">
      <c r="A21" t="s">
        <v>16</v>
      </c>
      <c r="B21" t="s">
        <v>3304</v>
      </c>
      <c r="C21" t="s">
        <v>3305</v>
      </c>
      <c r="D21" t="s">
        <v>3313</v>
      </c>
      <c r="E21" t="s">
        <v>3314</v>
      </c>
      <c r="F21" t="s">
        <v>3289</v>
      </c>
      <c r="G21" t="s">
        <v>1629</v>
      </c>
    </row>
    <row r="22" spans="1:7" ht="11.25" customHeight="1">
      <c r="A22" t="s">
        <v>16</v>
      </c>
      <c r="B22" t="s">
        <v>3304</v>
      </c>
      <c r="C22" t="s">
        <v>3305</v>
      </c>
      <c r="D22" t="s">
        <v>3315</v>
      </c>
      <c r="E22" t="s">
        <v>3316</v>
      </c>
      <c r="F22" t="s">
        <v>3295</v>
      </c>
      <c r="G22" t="s">
        <v>1636</v>
      </c>
    </row>
    <row r="23" spans="1:7" ht="11.25" customHeight="1">
      <c r="A23" t="s">
        <v>16</v>
      </c>
      <c r="B23" t="s">
        <v>3304</v>
      </c>
      <c r="C23" t="s">
        <v>3305</v>
      </c>
      <c r="D23" t="s">
        <v>3317</v>
      </c>
      <c r="E23" t="s">
        <v>3318</v>
      </c>
      <c r="F23" t="s">
        <v>3289</v>
      </c>
      <c r="G23" t="s">
        <v>1644</v>
      </c>
    </row>
    <row r="24" spans="1:7" ht="11.25" customHeight="1">
      <c r="A24" t="s">
        <v>16</v>
      </c>
      <c r="B24" t="s">
        <v>3304</v>
      </c>
      <c r="C24" t="s">
        <v>3305</v>
      </c>
      <c r="D24" t="s">
        <v>3319</v>
      </c>
      <c r="E24" t="s">
        <v>3320</v>
      </c>
      <c r="F24" t="s">
        <v>3289</v>
      </c>
      <c r="G24" t="s">
        <v>1651</v>
      </c>
    </row>
    <row r="25" spans="1:7" ht="11.25" customHeight="1">
      <c r="A25" t="s">
        <v>16</v>
      </c>
      <c r="B25" t="s">
        <v>3321</v>
      </c>
      <c r="C25" t="s">
        <v>3322</v>
      </c>
      <c r="D25" t="s">
        <v>3321</v>
      </c>
      <c r="E25" t="s">
        <v>3322</v>
      </c>
      <c r="F25" t="s">
        <v>3275</v>
      </c>
      <c r="G25" t="s">
        <v>1655</v>
      </c>
    </row>
    <row r="26" spans="1:7" ht="11.25" customHeight="1">
      <c r="A26" t="s">
        <v>16</v>
      </c>
      <c r="B26" t="s">
        <v>3323</v>
      </c>
      <c r="C26" t="s">
        <v>3324</v>
      </c>
      <c r="D26" t="s">
        <v>3325</v>
      </c>
      <c r="E26" t="s">
        <v>3326</v>
      </c>
      <c r="F26" t="s">
        <v>3310</v>
      </c>
      <c r="G26" t="s">
        <v>1660</v>
      </c>
    </row>
    <row r="27" spans="1:7" ht="11.25" customHeight="1">
      <c r="A27" t="s">
        <v>16</v>
      </c>
      <c r="B27" t="s">
        <v>3323</v>
      </c>
      <c r="C27" t="s">
        <v>3324</v>
      </c>
      <c r="D27" t="s">
        <v>3327</v>
      </c>
      <c r="E27" t="s">
        <v>3328</v>
      </c>
      <c r="F27" t="s">
        <v>3289</v>
      </c>
      <c r="G27" t="s">
        <v>1668</v>
      </c>
    </row>
    <row r="28" spans="1:7" ht="11.25" customHeight="1">
      <c r="A28" t="s">
        <v>16</v>
      </c>
      <c r="B28" t="s">
        <v>3323</v>
      </c>
      <c r="C28" t="s">
        <v>3324</v>
      </c>
      <c r="D28" t="s">
        <v>3329</v>
      </c>
      <c r="E28" t="s">
        <v>3330</v>
      </c>
      <c r="F28" t="s">
        <v>3289</v>
      </c>
      <c r="G28" t="s">
        <v>1670</v>
      </c>
    </row>
    <row r="29" spans="1:7" ht="11.25" customHeight="1">
      <c r="A29" t="s">
        <v>16</v>
      </c>
      <c r="B29" t="s">
        <v>3323</v>
      </c>
      <c r="C29" t="s">
        <v>3324</v>
      </c>
      <c r="D29" t="s">
        <v>3331</v>
      </c>
      <c r="E29" t="s">
        <v>3332</v>
      </c>
      <c r="F29" t="s">
        <v>3289</v>
      </c>
      <c r="G29" t="s">
        <v>1673</v>
      </c>
    </row>
    <row r="30" spans="1:7" ht="11.25" customHeight="1">
      <c r="A30" t="s">
        <v>16</v>
      </c>
      <c r="B30" t="s">
        <v>3323</v>
      </c>
      <c r="C30" t="s">
        <v>3324</v>
      </c>
      <c r="D30" t="s">
        <v>3333</v>
      </c>
      <c r="E30" t="s">
        <v>3334</v>
      </c>
      <c r="F30" t="s">
        <v>3289</v>
      </c>
      <c r="G30" t="s">
        <v>1678</v>
      </c>
    </row>
    <row r="31" spans="1:7" ht="11.25" customHeight="1">
      <c r="A31" t="s">
        <v>16</v>
      </c>
      <c r="B31" t="s">
        <v>3323</v>
      </c>
      <c r="C31" t="s">
        <v>3324</v>
      </c>
      <c r="D31" t="s">
        <v>3323</v>
      </c>
      <c r="E31" t="s">
        <v>3324</v>
      </c>
      <c r="F31" t="s">
        <v>3290</v>
      </c>
      <c r="G31" t="s">
        <v>1680</v>
      </c>
    </row>
    <row r="32" spans="1:7" ht="11.25" customHeight="1">
      <c r="A32" t="s">
        <v>16</v>
      </c>
      <c r="B32" t="s">
        <v>3323</v>
      </c>
      <c r="C32" t="s">
        <v>3324</v>
      </c>
      <c r="D32" t="s">
        <v>3335</v>
      </c>
      <c r="E32" t="s">
        <v>3336</v>
      </c>
      <c r="F32" t="s">
        <v>3289</v>
      </c>
      <c r="G32" t="s">
        <v>1682</v>
      </c>
    </row>
    <row r="33" spans="1:7" ht="11.25" customHeight="1">
      <c r="A33" t="s">
        <v>16</v>
      </c>
      <c r="B33" t="s">
        <v>3323</v>
      </c>
      <c r="C33" t="s">
        <v>3324</v>
      </c>
      <c r="D33" t="s">
        <v>3337</v>
      </c>
      <c r="E33" t="s">
        <v>3338</v>
      </c>
      <c r="F33" t="s">
        <v>3289</v>
      </c>
      <c r="G33" t="s">
        <v>1684</v>
      </c>
    </row>
    <row r="34" spans="1:7" ht="11.25" customHeight="1">
      <c r="A34" t="s">
        <v>16</v>
      </c>
      <c r="B34" t="s">
        <v>3323</v>
      </c>
      <c r="C34" t="s">
        <v>3324</v>
      </c>
      <c r="D34" t="s">
        <v>3339</v>
      </c>
      <c r="E34" t="s">
        <v>3340</v>
      </c>
      <c r="F34" t="s">
        <v>3289</v>
      </c>
      <c r="G34" t="s">
        <v>1689</v>
      </c>
    </row>
    <row r="35" spans="1:7" ht="11.25" customHeight="1">
      <c r="A35" t="s">
        <v>16</v>
      </c>
      <c r="B35" t="s">
        <v>3323</v>
      </c>
      <c r="C35" t="s">
        <v>3324</v>
      </c>
      <c r="D35" t="s">
        <v>3341</v>
      </c>
      <c r="E35" t="s">
        <v>3342</v>
      </c>
      <c r="F35" t="s">
        <v>3289</v>
      </c>
      <c r="G35" t="s">
        <v>1694</v>
      </c>
    </row>
    <row r="36" spans="1:7" ht="11.25" customHeight="1">
      <c r="A36" t="s">
        <v>16</v>
      </c>
      <c r="B36" t="s">
        <v>3323</v>
      </c>
      <c r="C36" t="s">
        <v>3324</v>
      </c>
      <c r="D36" t="s">
        <v>3343</v>
      </c>
      <c r="E36" t="s">
        <v>3344</v>
      </c>
      <c r="F36" t="s">
        <v>3289</v>
      </c>
      <c r="G36" t="s">
        <v>1698</v>
      </c>
    </row>
    <row r="37" spans="1:7" ht="11.25" customHeight="1">
      <c r="A37" t="s">
        <v>16</v>
      </c>
      <c r="B37" t="s">
        <v>3345</v>
      </c>
      <c r="C37" t="s">
        <v>3346</v>
      </c>
      <c r="D37" t="s">
        <v>3345</v>
      </c>
      <c r="E37" t="s">
        <v>3346</v>
      </c>
      <c r="F37" t="s">
        <v>3275</v>
      </c>
      <c r="G37" t="s">
        <v>1706</v>
      </c>
    </row>
    <row r="38" spans="1:7" ht="11.25" customHeight="1">
      <c r="A38" t="s">
        <v>16</v>
      </c>
      <c r="B38" t="s">
        <v>3347</v>
      </c>
      <c r="C38" t="s">
        <v>3348</v>
      </c>
      <c r="D38" t="s">
        <v>3347</v>
      </c>
      <c r="E38" t="s">
        <v>3348</v>
      </c>
      <c r="F38" t="s">
        <v>3278</v>
      </c>
      <c r="G38" t="s">
        <v>1712</v>
      </c>
    </row>
    <row r="39" spans="1:7" ht="11.25" customHeight="1">
      <c r="A39" t="s">
        <v>16</v>
      </c>
      <c r="B39" t="s">
        <v>119</v>
      </c>
      <c r="C39" t="s">
        <v>3349</v>
      </c>
      <c r="D39" t="s">
        <v>3350</v>
      </c>
      <c r="E39" t="s">
        <v>3351</v>
      </c>
      <c r="F39" t="s">
        <v>3289</v>
      </c>
      <c r="G39" t="s">
        <v>1717</v>
      </c>
    </row>
    <row r="40" spans="1:7" ht="11.25" customHeight="1">
      <c r="A40" t="s">
        <v>16</v>
      </c>
      <c r="B40" t="s">
        <v>119</v>
      </c>
      <c r="C40" t="s">
        <v>3349</v>
      </c>
      <c r="D40" t="s">
        <v>3352</v>
      </c>
      <c r="E40" t="s">
        <v>3353</v>
      </c>
      <c r="F40" t="s">
        <v>3289</v>
      </c>
      <c r="G40" t="s">
        <v>1721</v>
      </c>
    </row>
    <row r="41" spans="1:7" ht="11.25" customHeight="1">
      <c r="A41" t="s">
        <v>16</v>
      </c>
      <c r="B41" t="s">
        <v>119</v>
      </c>
      <c r="C41" t="s">
        <v>3349</v>
      </c>
      <c r="D41" t="s">
        <v>3354</v>
      </c>
      <c r="E41" t="s">
        <v>3355</v>
      </c>
      <c r="F41" t="s">
        <v>3289</v>
      </c>
      <c r="G41" t="s">
        <v>1724</v>
      </c>
    </row>
    <row r="42" spans="1:7" ht="11.25" customHeight="1">
      <c r="A42" t="s">
        <v>16</v>
      </c>
      <c r="B42" t="s">
        <v>119</v>
      </c>
      <c r="C42" t="s">
        <v>3349</v>
      </c>
      <c r="D42" t="s">
        <v>119</v>
      </c>
      <c r="E42" t="s">
        <v>3349</v>
      </c>
      <c r="F42" t="s">
        <v>3290</v>
      </c>
      <c r="G42" t="s">
        <v>1731</v>
      </c>
    </row>
    <row r="43" spans="1:7" ht="11.25" customHeight="1">
      <c r="A43" t="s">
        <v>16</v>
      </c>
      <c r="B43" t="s">
        <v>119</v>
      </c>
      <c r="C43" t="s">
        <v>3349</v>
      </c>
      <c r="D43" t="s">
        <v>3356</v>
      </c>
      <c r="E43" t="s">
        <v>3357</v>
      </c>
      <c r="F43" t="s">
        <v>3289</v>
      </c>
      <c r="G43" t="s">
        <v>1740</v>
      </c>
    </row>
    <row r="44" spans="1:7" ht="11.25" customHeight="1">
      <c r="A44" t="s">
        <v>16</v>
      </c>
      <c r="B44" t="s">
        <v>119</v>
      </c>
      <c r="C44" t="s">
        <v>3349</v>
      </c>
      <c r="D44" t="s">
        <v>120</v>
      </c>
      <c r="E44" t="s">
        <v>121</v>
      </c>
      <c r="F44" t="s">
        <v>3310</v>
      </c>
      <c r="G44" t="s">
        <v>118</v>
      </c>
    </row>
    <row r="45" spans="1:7" ht="11.25" customHeight="1">
      <c r="A45" t="s">
        <v>16</v>
      </c>
      <c r="B45" t="s">
        <v>119</v>
      </c>
      <c r="C45" t="s">
        <v>3349</v>
      </c>
      <c r="D45" t="s">
        <v>3358</v>
      </c>
      <c r="E45" t="s">
        <v>3359</v>
      </c>
      <c r="F45" t="s">
        <v>3289</v>
      </c>
      <c r="G45" t="s">
        <v>1748</v>
      </c>
    </row>
    <row r="46" spans="1:7" ht="11.25" customHeight="1">
      <c r="A46" t="s">
        <v>16</v>
      </c>
      <c r="B46" t="s">
        <v>119</v>
      </c>
      <c r="C46" t="s">
        <v>3349</v>
      </c>
      <c r="D46" t="s">
        <v>3360</v>
      </c>
      <c r="E46" t="s">
        <v>3361</v>
      </c>
      <c r="F46" t="s">
        <v>3289</v>
      </c>
      <c r="G46" t="s">
        <v>1754</v>
      </c>
    </row>
    <row r="47" spans="1:7" ht="11.25" customHeight="1">
      <c r="A47" t="s">
        <v>16</v>
      </c>
      <c r="B47" t="s">
        <v>3362</v>
      </c>
      <c r="C47" t="s">
        <v>3363</v>
      </c>
      <c r="D47" t="s">
        <v>3362</v>
      </c>
      <c r="E47" t="s">
        <v>3363</v>
      </c>
      <c r="F47" t="s">
        <v>3290</v>
      </c>
      <c r="G47" t="s">
        <v>1758</v>
      </c>
    </row>
    <row r="48" spans="1:7" ht="11.25" customHeight="1">
      <c r="A48" t="s">
        <v>16</v>
      </c>
      <c r="B48" t="s">
        <v>3362</v>
      </c>
      <c r="C48" t="s">
        <v>3363</v>
      </c>
      <c r="D48" t="s">
        <v>3364</v>
      </c>
      <c r="E48" t="s">
        <v>3365</v>
      </c>
      <c r="F48" t="s">
        <v>3289</v>
      </c>
      <c r="G48" t="s">
        <v>1761</v>
      </c>
    </row>
    <row r="49" spans="1:7" ht="11.25" customHeight="1">
      <c r="A49" t="s">
        <v>16</v>
      </c>
      <c r="B49" t="s">
        <v>3362</v>
      </c>
      <c r="C49" t="s">
        <v>3363</v>
      </c>
      <c r="D49" t="s">
        <v>3366</v>
      </c>
      <c r="E49" t="s">
        <v>3367</v>
      </c>
      <c r="F49" t="s">
        <v>3289</v>
      </c>
      <c r="G49" t="s">
        <v>1764</v>
      </c>
    </row>
    <row r="50" spans="1:7" ht="11.25" customHeight="1">
      <c r="A50" t="s">
        <v>16</v>
      </c>
      <c r="B50" t="s">
        <v>3362</v>
      </c>
      <c r="C50" t="s">
        <v>3363</v>
      </c>
      <c r="D50" t="s">
        <v>3368</v>
      </c>
      <c r="E50" t="s">
        <v>3369</v>
      </c>
      <c r="F50" t="s">
        <v>3289</v>
      </c>
      <c r="G50" t="s">
        <v>1769</v>
      </c>
    </row>
    <row r="51" spans="1:7" ht="11.25" customHeight="1">
      <c r="A51" t="s">
        <v>16</v>
      </c>
      <c r="B51" t="s">
        <v>3370</v>
      </c>
      <c r="C51" t="s">
        <v>3371</v>
      </c>
      <c r="D51" t="s">
        <v>3370</v>
      </c>
      <c r="E51" t="s">
        <v>3371</v>
      </c>
      <c r="F51" t="s">
        <v>3278</v>
      </c>
      <c r="G51" t="s">
        <v>1773</v>
      </c>
    </row>
    <row r="52" spans="1:7" ht="11.25" customHeight="1">
      <c r="A52" t="s">
        <v>16</v>
      </c>
      <c r="B52" t="s">
        <v>3372</v>
      </c>
      <c r="C52" t="s">
        <v>3373</v>
      </c>
      <c r="D52" t="s">
        <v>3372</v>
      </c>
      <c r="E52" t="s">
        <v>3373</v>
      </c>
      <c r="F52" t="s">
        <v>3275</v>
      </c>
      <c r="G52" t="s">
        <v>1775</v>
      </c>
    </row>
    <row r="53" spans="1:7" ht="11.25" customHeight="1">
      <c r="A53" t="s">
        <v>16</v>
      </c>
      <c r="B53" t="s">
        <v>3374</v>
      </c>
      <c r="C53" t="s">
        <v>3375</v>
      </c>
      <c r="D53" t="s">
        <v>3374</v>
      </c>
      <c r="E53" t="s">
        <v>3375</v>
      </c>
      <c r="F53" t="s">
        <v>3275</v>
      </c>
      <c r="G53" t="s">
        <v>1778</v>
      </c>
    </row>
    <row r="54" spans="1:7" ht="11.25" customHeight="1">
      <c r="A54" t="s">
        <v>16</v>
      </c>
      <c r="B54" t="s">
        <v>3376</v>
      </c>
      <c r="C54" t="s">
        <v>3377</v>
      </c>
      <c r="D54" t="s">
        <v>3376</v>
      </c>
      <c r="E54" t="s">
        <v>3377</v>
      </c>
      <c r="F54" t="s">
        <v>3278</v>
      </c>
      <c r="G54" t="s">
        <v>1783</v>
      </c>
    </row>
    <row r="55" spans="1:7" ht="11.25" customHeight="1">
      <c r="A55" t="s">
        <v>16</v>
      </c>
      <c r="B55" t="s">
        <v>3378</v>
      </c>
      <c r="C55" t="s">
        <v>3379</v>
      </c>
      <c r="D55" t="s">
        <v>3378</v>
      </c>
      <c r="E55" t="s">
        <v>3379</v>
      </c>
      <c r="F55" t="s">
        <v>3275</v>
      </c>
      <c r="G55" t="s">
        <v>1786</v>
      </c>
    </row>
    <row r="56" spans="1:7" ht="11.25" customHeight="1">
      <c r="A56" t="s">
        <v>16</v>
      </c>
      <c r="B56" t="s">
        <v>3380</v>
      </c>
      <c r="C56" t="s">
        <v>3381</v>
      </c>
      <c r="D56" t="s">
        <v>3382</v>
      </c>
      <c r="E56" t="s">
        <v>3383</v>
      </c>
      <c r="F56" t="s">
        <v>3289</v>
      </c>
      <c r="G56" t="s">
        <v>1789</v>
      </c>
    </row>
    <row r="57" spans="1:7" ht="11.25" customHeight="1">
      <c r="A57" t="s">
        <v>16</v>
      </c>
      <c r="B57" t="s">
        <v>3380</v>
      </c>
      <c r="C57" t="s">
        <v>3381</v>
      </c>
      <c r="D57" t="s">
        <v>3384</v>
      </c>
      <c r="E57" t="s">
        <v>3385</v>
      </c>
      <c r="F57" t="s">
        <v>3289</v>
      </c>
      <c r="G57" t="s">
        <v>1792</v>
      </c>
    </row>
    <row r="58" spans="1:7" ht="11.25" customHeight="1">
      <c r="A58" t="s">
        <v>16</v>
      </c>
      <c r="B58" t="s">
        <v>3380</v>
      </c>
      <c r="C58" t="s">
        <v>3381</v>
      </c>
      <c r="D58" t="s">
        <v>3386</v>
      </c>
      <c r="E58" t="s">
        <v>3387</v>
      </c>
      <c r="F58" t="s">
        <v>3289</v>
      </c>
      <c r="G58" t="s">
        <v>1796</v>
      </c>
    </row>
    <row r="59" spans="1:7" ht="11.25" customHeight="1">
      <c r="A59" t="s">
        <v>16</v>
      </c>
      <c r="B59" t="s">
        <v>3380</v>
      </c>
      <c r="C59" t="s">
        <v>3381</v>
      </c>
      <c r="D59" t="s">
        <v>3388</v>
      </c>
      <c r="E59" t="s">
        <v>3389</v>
      </c>
      <c r="F59" t="s">
        <v>3295</v>
      </c>
      <c r="G59" t="s">
        <v>1799</v>
      </c>
    </row>
    <row r="60" spans="1:7" ht="11.25" customHeight="1">
      <c r="A60" t="s">
        <v>16</v>
      </c>
      <c r="B60" t="s">
        <v>3380</v>
      </c>
      <c r="C60" t="s">
        <v>3381</v>
      </c>
      <c r="D60" t="s">
        <v>3390</v>
      </c>
      <c r="E60" t="s">
        <v>3391</v>
      </c>
      <c r="F60" t="s">
        <v>3289</v>
      </c>
      <c r="G60" t="s">
        <v>3392</v>
      </c>
    </row>
    <row r="61" spans="1:7" ht="11.25" customHeight="1">
      <c r="A61" t="s">
        <v>16</v>
      </c>
      <c r="B61" t="s">
        <v>3380</v>
      </c>
      <c r="C61" t="s">
        <v>3381</v>
      </c>
      <c r="D61" t="s">
        <v>3393</v>
      </c>
      <c r="E61" t="s">
        <v>3394</v>
      </c>
      <c r="F61" t="s">
        <v>3289</v>
      </c>
      <c r="G61" t="s">
        <v>3395</v>
      </c>
    </row>
    <row r="62" spans="1:7" ht="11.25" customHeight="1">
      <c r="A62" t="s">
        <v>16</v>
      </c>
      <c r="B62" t="s">
        <v>3380</v>
      </c>
      <c r="C62" t="s">
        <v>3381</v>
      </c>
      <c r="D62" t="s">
        <v>3380</v>
      </c>
      <c r="E62" t="s">
        <v>3381</v>
      </c>
      <c r="F62" t="s">
        <v>3290</v>
      </c>
      <c r="G62" t="s">
        <v>3396</v>
      </c>
    </row>
    <row r="63" spans="1:7" ht="11.25" customHeight="1">
      <c r="A63" t="s">
        <v>16</v>
      </c>
      <c r="B63" t="s">
        <v>3380</v>
      </c>
      <c r="C63" t="s">
        <v>3381</v>
      </c>
      <c r="D63" t="s">
        <v>3397</v>
      </c>
      <c r="E63" t="s">
        <v>3398</v>
      </c>
      <c r="F63" t="s">
        <v>3289</v>
      </c>
      <c r="G63" t="s">
        <v>3399</v>
      </c>
    </row>
    <row r="64" spans="1:7" ht="11.25" customHeight="1">
      <c r="A64" t="s">
        <v>16</v>
      </c>
      <c r="B64" t="s">
        <v>3400</v>
      </c>
      <c r="C64" t="s">
        <v>3401</v>
      </c>
      <c r="D64" t="s">
        <v>3400</v>
      </c>
      <c r="E64" t="s">
        <v>3401</v>
      </c>
      <c r="F64" t="s">
        <v>3275</v>
      </c>
      <c r="G64" t="s">
        <v>3402</v>
      </c>
    </row>
    <row r="65" spans="1:7" ht="11.25" customHeight="1">
      <c r="A65" t="s">
        <v>16</v>
      </c>
      <c r="B65" t="s">
        <v>3403</v>
      </c>
      <c r="C65" t="s">
        <v>3404</v>
      </c>
      <c r="D65" t="s">
        <v>3403</v>
      </c>
      <c r="E65" t="s">
        <v>3404</v>
      </c>
      <c r="F65" t="s">
        <v>3275</v>
      </c>
      <c r="G65" t="s">
        <v>3405</v>
      </c>
    </row>
    <row r="66" spans="1:7" ht="11.25" customHeight="1">
      <c r="A66" t="s">
        <v>16</v>
      </c>
      <c r="B66" t="s">
        <v>3406</v>
      </c>
      <c r="C66" t="s">
        <v>3407</v>
      </c>
      <c r="D66" t="s">
        <v>3408</v>
      </c>
      <c r="E66" t="s">
        <v>3409</v>
      </c>
      <c r="F66" t="s">
        <v>3289</v>
      </c>
      <c r="G66" t="s">
        <v>2118</v>
      </c>
    </row>
    <row r="67" spans="1:7" ht="11.25" customHeight="1">
      <c r="A67" t="s">
        <v>16</v>
      </c>
      <c r="B67" t="s">
        <v>3406</v>
      </c>
      <c r="C67" t="s">
        <v>3407</v>
      </c>
      <c r="D67" t="s">
        <v>3410</v>
      </c>
      <c r="E67" t="s">
        <v>3411</v>
      </c>
      <c r="F67" t="s">
        <v>3289</v>
      </c>
      <c r="G67" t="s">
        <v>3412</v>
      </c>
    </row>
    <row r="68" spans="1:7" ht="11.25" customHeight="1">
      <c r="A68" t="s">
        <v>16</v>
      </c>
      <c r="B68" t="s">
        <v>3406</v>
      </c>
      <c r="C68" t="s">
        <v>3407</v>
      </c>
      <c r="D68" t="s">
        <v>3413</v>
      </c>
      <c r="E68" t="s">
        <v>3414</v>
      </c>
      <c r="F68" t="s">
        <v>3289</v>
      </c>
      <c r="G68" t="s">
        <v>2321</v>
      </c>
    </row>
    <row r="69" spans="1:7" ht="11.25" customHeight="1">
      <c r="A69" t="s">
        <v>16</v>
      </c>
      <c r="B69" t="s">
        <v>3406</v>
      </c>
      <c r="C69" t="s">
        <v>3407</v>
      </c>
      <c r="D69" t="s">
        <v>3415</v>
      </c>
      <c r="E69" t="s">
        <v>3416</v>
      </c>
      <c r="F69" t="s">
        <v>3289</v>
      </c>
      <c r="G69" t="s">
        <v>3417</v>
      </c>
    </row>
    <row r="70" spans="1:7" ht="11.25" customHeight="1">
      <c r="A70" t="s">
        <v>16</v>
      </c>
      <c r="B70" t="s">
        <v>3406</v>
      </c>
      <c r="C70" t="s">
        <v>3407</v>
      </c>
      <c r="D70" t="s">
        <v>3418</v>
      </c>
      <c r="E70" t="s">
        <v>3419</v>
      </c>
      <c r="F70" t="s">
        <v>3289</v>
      </c>
      <c r="G70" t="s">
        <v>3420</v>
      </c>
    </row>
    <row r="71" spans="1:7" ht="11.25" customHeight="1">
      <c r="A71" t="s">
        <v>16</v>
      </c>
      <c r="B71" t="s">
        <v>3406</v>
      </c>
      <c r="C71" t="s">
        <v>3407</v>
      </c>
      <c r="D71" t="s">
        <v>3406</v>
      </c>
      <c r="E71" t="s">
        <v>3407</v>
      </c>
      <c r="F71" t="s">
        <v>3290</v>
      </c>
      <c r="G71" t="s">
        <v>3421</v>
      </c>
    </row>
    <row r="72" spans="1:7" ht="11.25" customHeight="1">
      <c r="A72" t="s">
        <v>16</v>
      </c>
      <c r="B72" t="s">
        <v>3406</v>
      </c>
      <c r="C72" t="s">
        <v>3407</v>
      </c>
      <c r="D72" t="s">
        <v>3422</v>
      </c>
      <c r="E72" t="s">
        <v>3423</v>
      </c>
      <c r="F72" t="s">
        <v>3289</v>
      </c>
      <c r="G72" t="s">
        <v>3424</v>
      </c>
    </row>
    <row r="73" spans="1:7" ht="11.25" customHeight="1">
      <c r="A73" t="s">
        <v>16</v>
      </c>
      <c r="B73" t="s">
        <v>3406</v>
      </c>
      <c r="C73" t="s">
        <v>3407</v>
      </c>
      <c r="D73" t="s">
        <v>3425</v>
      </c>
      <c r="E73" t="s">
        <v>3426</v>
      </c>
      <c r="F73" t="s">
        <v>3289</v>
      </c>
      <c r="G73" t="s">
        <v>3427</v>
      </c>
    </row>
    <row r="74" spans="1:7" ht="11.25" customHeight="1">
      <c r="A74" t="s">
        <v>16</v>
      </c>
      <c r="B74" t="s">
        <v>3406</v>
      </c>
      <c r="C74" t="s">
        <v>3407</v>
      </c>
      <c r="D74" t="s">
        <v>3428</v>
      </c>
      <c r="E74" t="s">
        <v>3429</v>
      </c>
      <c r="F74" t="s">
        <v>3289</v>
      </c>
      <c r="G74" t="s">
        <v>3430</v>
      </c>
    </row>
    <row r="75" spans="1:7" ht="11.25" customHeight="1">
      <c r="A75" t="s">
        <v>16</v>
      </c>
      <c r="B75" t="s">
        <v>3431</v>
      </c>
      <c r="C75" t="s">
        <v>3432</v>
      </c>
      <c r="D75" t="s">
        <v>3431</v>
      </c>
      <c r="E75" t="s">
        <v>3432</v>
      </c>
      <c r="F75" t="s">
        <v>3275</v>
      </c>
      <c r="G75" t="s">
        <v>3433</v>
      </c>
    </row>
    <row r="76" spans="1:7" ht="11.25" customHeight="1">
      <c r="A76" t="s">
        <v>16</v>
      </c>
      <c r="B76" t="s">
        <v>3434</v>
      </c>
      <c r="C76" t="s">
        <v>3435</v>
      </c>
      <c r="D76" t="s">
        <v>3434</v>
      </c>
      <c r="E76" t="s">
        <v>3435</v>
      </c>
      <c r="F76" t="s">
        <v>3278</v>
      </c>
      <c r="G76" t="s">
        <v>3436</v>
      </c>
    </row>
    <row r="77" spans="1:7" ht="11.25" customHeight="1">
      <c r="A77" t="s">
        <v>16</v>
      </c>
      <c r="B77" t="s">
        <v>3437</v>
      </c>
      <c r="C77" t="s">
        <v>3438</v>
      </c>
      <c r="D77" t="s">
        <v>3437</v>
      </c>
      <c r="E77" t="s">
        <v>3438</v>
      </c>
      <c r="F77" t="s">
        <v>3275</v>
      </c>
      <c r="G77" t="s">
        <v>3439</v>
      </c>
    </row>
    <row r="78" spans="1:7" ht="11.25" customHeight="1">
      <c r="A78" t="s">
        <v>16</v>
      </c>
      <c r="B78" t="s">
        <v>100</v>
      </c>
      <c r="C78" t="s">
        <v>101</v>
      </c>
      <c r="D78" t="s">
        <v>100</v>
      </c>
      <c r="E78" t="s">
        <v>101</v>
      </c>
      <c r="F78" t="s">
        <v>3275</v>
      </c>
      <c r="G78" t="s">
        <v>99</v>
      </c>
    </row>
    <row r="79" spans="1:7" ht="11.25" customHeight="1">
      <c r="A79" t="s">
        <v>16</v>
      </c>
      <c r="B79" t="s">
        <v>3440</v>
      </c>
      <c r="C79" t="s">
        <v>3441</v>
      </c>
      <c r="D79" t="s">
        <v>3440</v>
      </c>
      <c r="E79" t="s">
        <v>3441</v>
      </c>
      <c r="F79" t="s">
        <v>3275</v>
      </c>
      <c r="G79" t="s">
        <v>3442</v>
      </c>
    </row>
    <row r="80" spans="1:7" ht="11.25" customHeight="1">
      <c r="A80" t="s">
        <v>16</v>
      </c>
      <c r="B80" t="s">
        <v>132</v>
      </c>
      <c r="C80" t="s">
        <v>133</v>
      </c>
      <c r="D80" t="s">
        <v>132</v>
      </c>
      <c r="E80" t="s">
        <v>133</v>
      </c>
      <c r="F80" t="s">
        <v>3275</v>
      </c>
      <c r="G80" t="s">
        <v>131</v>
      </c>
    </row>
    <row r="81" spans="1:7" ht="11.25" customHeight="1">
      <c r="A81" t="s">
        <v>16</v>
      </c>
      <c r="B81" t="s">
        <v>3443</v>
      </c>
      <c r="C81" t="s">
        <v>3444</v>
      </c>
      <c r="D81" t="s">
        <v>3445</v>
      </c>
      <c r="E81" t="s">
        <v>3446</v>
      </c>
      <c r="F81" t="s">
        <v>3289</v>
      </c>
      <c r="G81" t="s">
        <v>3447</v>
      </c>
    </row>
    <row r="82" spans="1:7" ht="11.25" customHeight="1">
      <c r="A82" t="s">
        <v>16</v>
      </c>
      <c r="B82" t="s">
        <v>3443</v>
      </c>
      <c r="C82" t="s">
        <v>3444</v>
      </c>
      <c r="D82" t="s">
        <v>3448</v>
      </c>
      <c r="E82" t="s">
        <v>3449</v>
      </c>
      <c r="F82" t="s">
        <v>3295</v>
      </c>
      <c r="G82" t="s">
        <v>3450</v>
      </c>
    </row>
    <row r="83" spans="1:7" ht="11.25" customHeight="1">
      <c r="A83" t="s">
        <v>16</v>
      </c>
      <c r="B83" t="s">
        <v>3443</v>
      </c>
      <c r="C83" t="s">
        <v>3444</v>
      </c>
      <c r="D83" t="s">
        <v>3451</v>
      </c>
      <c r="E83" t="s">
        <v>3452</v>
      </c>
      <c r="F83" t="s">
        <v>3289</v>
      </c>
      <c r="G83" t="s">
        <v>3453</v>
      </c>
    </row>
    <row r="84" spans="1:7" ht="11.25" customHeight="1">
      <c r="A84" t="s">
        <v>16</v>
      </c>
      <c r="B84" t="s">
        <v>3443</v>
      </c>
      <c r="C84" t="s">
        <v>3444</v>
      </c>
      <c r="D84" t="s">
        <v>3454</v>
      </c>
      <c r="E84" t="s">
        <v>3455</v>
      </c>
      <c r="F84" t="s">
        <v>3310</v>
      </c>
      <c r="G84" t="s">
        <v>3456</v>
      </c>
    </row>
    <row r="85" spans="1:7" ht="11.25" customHeight="1">
      <c r="A85" t="s">
        <v>16</v>
      </c>
      <c r="B85" t="s">
        <v>3443</v>
      </c>
      <c r="C85" t="s">
        <v>3444</v>
      </c>
      <c r="D85" t="s">
        <v>3457</v>
      </c>
      <c r="E85" t="s">
        <v>3458</v>
      </c>
      <c r="F85" t="s">
        <v>3289</v>
      </c>
      <c r="G85" t="s">
        <v>3459</v>
      </c>
    </row>
    <row r="86" spans="1:7" ht="11.25" customHeight="1">
      <c r="A86" t="s">
        <v>16</v>
      </c>
      <c r="B86" t="s">
        <v>3443</v>
      </c>
      <c r="C86" t="s">
        <v>3444</v>
      </c>
      <c r="D86" t="s">
        <v>3443</v>
      </c>
      <c r="E86" t="s">
        <v>3444</v>
      </c>
      <c r="F86" t="s">
        <v>3290</v>
      </c>
      <c r="G86" t="s">
        <v>3460</v>
      </c>
    </row>
    <row r="87" spans="1:7" ht="11.25" customHeight="1">
      <c r="A87" t="s">
        <v>16</v>
      </c>
      <c r="B87" t="s">
        <v>3443</v>
      </c>
      <c r="C87" t="s">
        <v>3444</v>
      </c>
      <c r="D87" t="s">
        <v>3461</v>
      </c>
      <c r="E87" t="s">
        <v>3462</v>
      </c>
      <c r="F87" t="s">
        <v>3289</v>
      </c>
      <c r="G87" t="s">
        <v>3463</v>
      </c>
    </row>
    <row r="88" spans="1:7" ht="11.25" customHeight="1">
      <c r="A88" t="s">
        <v>16</v>
      </c>
      <c r="B88" t="s">
        <v>3464</v>
      </c>
      <c r="C88" t="s">
        <v>3465</v>
      </c>
      <c r="D88" t="s">
        <v>3464</v>
      </c>
      <c r="E88" t="s">
        <v>3465</v>
      </c>
      <c r="F88" t="s">
        <v>3275</v>
      </c>
      <c r="G88" t="s">
        <v>3466</v>
      </c>
    </row>
    <row r="89" spans="1:7" ht="11.25" customHeight="1">
      <c r="A89" t="s">
        <v>16</v>
      </c>
      <c r="B89" t="s">
        <v>107</v>
      </c>
      <c r="C89" t="s">
        <v>108</v>
      </c>
      <c r="D89" t="s">
        <v>107</v>
      </c>
      <c r="E89" t="s">
        <v>108</v>
      </c>
      <c r="F89" t="s">
        <v>3275</v>
      </c>
      <c r="G89" t="s">
        <v>106</v>
      </c>
    </row>
    <row r="90" spans="1:7" ht="11.25" customHeight="1">
      <c r="A90" t="s">
        <v>16</v>
      </c>
      <c r="B90" t="s">
        <v>3467</v>
      </c>
      <c r="C90" t="s">
        <v>3468</v>
      </c>
      <c r="D90" t="s">
        <v>3469</v>
      </c>
      <c r="E90" t="s">
        <v>3470</v>
      </c>
      <c r="F90" t="s">
        <v>3289</v>
      </c>
      <c r="G90" t="s">
        <v>3471</v>
      </c>
    </row>
    <row r="91" spans="1:7" ht="11.25" customHeight="1">
      <c r="A91" t="s">
        <v>16</v>
      </c>
      <c r="B91" t="s">
        <v>3467</v>
      </c>
      <c r="C91" t="s">
        <v>3468</v>
      </c>
      <c r="D91" t="s">
        <v>3472</v>
      </c>
      <c r="E91" t="s">
        <v>3473</v>
      </c>
      <c r="F91" t="s">
        <v>3289</v>
      </c>
      <c r="G91" t="s">
        <v>3474</v>
      </c>
    </row>
    <row r="92" spans="1:7" ht="11.25" customHeight="1">
      <c r="A92" t="s">
        <v>16</v>
      </c>
      <c r="B92" t="s">
        <v>3467</v>
      </c>
      <c r="C92" t="s">
        <v>3468</v>
      </c>
      <c r="D92" t="s">
        <v>3475</v>
      </c>
      <c r="E92" t="s">
        <v>3476</v>
      </c>
      <c r="F92" t="s">
        <v>3289</v>
      </c>
      <c r="G92" t="s">
        <v>3477</v>
      </c>
    </row>
    <row r="93" spans="1:7" ht="11.25" customHeight="1">
      <c r="A93" t="s">
        <v>16</v>
      </c>
      <c r="B93" t="s">
        <v>3467</v>
      </c>
      <c r="C93" t="s">
        <v>3468</v>
      </c>
      <c r="D93" t="s">
        <v>3478</v>
      </c>
      <c r="E93" t="s">
        <v>3479</v>
      </c>
      <c r="F93" t="s">
        <v>3310</v>
      </c>
      <c r="G93" t="s">
        <v>3480</v>
      </c>
    </row>
    <row r="94" spans="1:7" ht="11.25" customHeight="1">
      <c r="A94" t="s">
        <v>16</v>
      </c>
      <c r="B94" t="s">
        <v>3467</v>
      </c>
      <c r="C94" t="s">
        <v>3468</v>
      </c>
      <c r="D94" t="s">
        <v>3481</v>
      </c>
      <c r="E94" t="s">
        <v>3482</v>
      </c>
      <c r="F94" t="s">
        <v>3289</v>
      </c>
      <c r="G94" t="s">
        <v>3483</v>
      </c>
    </row>
    <row r="95" spans="1:7" ht="11.25" customHeight="1">
      <c r="A95" t="s">
        <v>16</v>
      </c>
      <c r="B95" t="s">
        <v>3467</v>
      </c>
      <c r="C95" t="s">
        <v>3468</v>
      </c>
      <c r="D95" t="s">
        <v>3467</v>
      </c>
      <c r="E95" t="s">
        <v>3468</v>
      </c>
      <c r="F95" t="s">
        <v>3290</v>
      </c>
      <c r="G95" t="s">
        <v>3484</v>
      </c>
    </row>
    <row r="96" spans="1:7" ht="11.25" customHeight="1">
      <c r="A96" t="s">
        <v>16</v>
      </c>
      <c r="B96" t="s">
        <v>3467</v>
      </c>
      <c r="C96" t="s">
        <v>3468</v>
      </c>
      <c r="D96" t="s">
        <v>3485</v>
      </c>
      <c r="E96" t="s">
        <v>3486</v>
      </c>
      <c r="F96" t="s">
        <v>3310</v>
      </c>
      <c r="G96" t="s">
        <v>3487</v>
      </c>
    </row>
    <row r="97" spans="1:7" ht="11.25" customHeight="1">
      <c r="A97" t="s">
        <v>16</v>
      </c>
      <c r="B97" t="s">
        <v>3467</v>
      </c>
      <c r="C97" t="s">
        <v>3468</v>
      </c>
      <c r="D97" t="s">
        <v>3488</v>
      </c>
      <c r="E97" t="s">
        <v>3489</v>
      </c>
      <c r="F97" t="s">
        <v>3289</v>
      </c>
      <c r="G97" t="s">
        <v>3490</v>
      </c>
    </row>
    <row r="98" spans="1:7" ht="11.25" customHeight="1">
      <c r="A98" t="s">
        <v>16</v>
      </c>
      <c r="B98" t="s">
        <v>3491</v>
      </c>
      <c r="C98" t="s">
        <v>3492</v>
      </c>
      <c r="D98" t="s">
        <v>3491</v>
      </c>
      <c r="E98" t="s">
        <v>3492</v>
      </c>
      <c r="F98" t="s">
        <v>3275</v>
      </c>
      <c r="G98" t="s">
        <v>3493</v>
      </c>
    </row>
    <row r="99" spans="1:7" ht="11.25" customHeight="1">
      <c r="A99" t="s">
        <v>16</v>
      </c>
      <c r="B99" t="s">
        <v>3494</v>
      </c>
      <c r="C99" t="s">
        <v>3495</v>
      </c>
      <c r="D99" t="s">
        <v>3496</v>
      </c>
      <c r="E99" t="s">
        <v>3497</v>
      </c>
      <c r="F99" t="s">
        <v>3289</v>
      </c>
      <c r="G99" t="s">
        <v>3498</v>
      </c>
    </row>
    <row r="100" spans="1:7" ht="11.25" customHeight="1">
      <c r="A100" t="s">
        <v>16</v>
      </c>
      <c r="B100" t="s">
        <v>3494</v>
      </c>
      <c r="C100" t="s">
        <v>3495</v>
      </c>
      <c r="D100" t="s">
        <v>3499</v>
      </c>
      <c r="E100" t="s">
        <v>3500</v>
      </c>
      <c r="F100" t="s">
        <v>3289</v>
      </c>
      <c r="G100" t="s">
        <v>3501</v>
      </c>
    </row>
    <row r="101" spans="1:7" ht="11.25" customHeight="1">
      <c r="A101" t="s">
        <v>16</v>
      </c>
      <c r="B101" t="s">
        <v>3494</v>
      </c>
      <c r="C101" t="s">
        <v>3495</v>
      </c>
      <c r="D101" t="s">
        <v>3502</v>
      </c>
      <c r="E101" t="s">
        <v>3503</v>
      </c>
      <c r="F101" t="s">
        <v>3289</v>
      </c>
      <c r="G101" t="s">
        <v>3504</v>
      </c>
    </row>
    <row r="102" spans="1:7" ht="11.25" customHeight="1">
      <c r="A102" t="s">
        <v>16</v>
      </c>
      <c r="B102" t="s">
        <v>3494</v>
      </c>
      <c r="C102" t="s">
        <v>3495</v>
      </c>
      <c r="D102" t="s">
        <v>3505</v>
      </c>
      <c r="E102" t="s">
        <v>3506</v>
      </c>
      <c r="F102" t="s">
        <v>3289</v>
      </c>
      <c r="G102" t="s">
        <v>3507</v>
      </c>
    </row>
    <row r="103" spans="1:7" ht="11.25" customHeight="1">
      <c r="A103" t="s">
        <v>16</v>
      </c>
      <c r="B103" t="s">
        <v>3494</v>
      </c>
      <c r="C103" t="s">
        <v>3495</v>
      </c>
      <c r="D103" t="s">
        <v>3494</v>
      </c>
      <c r="E103" t="s">
        <v>3495</v>
      </c>
      <c r="F103" t="s">
        <v>3290</v>
      </c>
      <c r="G103" t="s">
        <v>3508</v>
      </c>
    </row>
    <row r="104" spans="1:7" ht="11.25" customHeight="1">
      <c r="A104" t="s">
        <v>16</v>
      </c>
      <c r="B104" t="s">
        <v>3494</v>
      </c>
      <c r="C104" t="s">
        <v>3495</v>
      </c>
      <c r="D104" t="s">
        <v>3509</v>
      </c>
      <c r="E104" t="s">
        <v>3510</v>
      </c>
      <c r="F104" t="s">
        <v>3289</v>
      </c>
      <c r="G104" t="s">
        <v>3511</v>
      </c>
    </row>
    <row r="105" spans="1:7" ht="11.25" customHeight="1">
      <c r="A105" t="s">
        <v>16</v>
      </c>
      <c r="B105" t="s">
        <v>3512</v>
      </c>
      <c r="C105" t="s">
        <v>3513</v>
      </c>
      <c r="D105" t="s">
        <v>3512</v>
      </c>
      <c r="E105" t="s">
        <v>3513</v>
      </c>
      <c r="F105" t="s">
        <v>3278</v>
      </c>
      <c r="G105" t="s">
        <v>3514</v>
      </c>
    </row>
    <row r="106" spans="1:7" ht="11.25" customHeight="1">
      <c r="A106" t="s">
        <v>16</v>
      </c>
      <c r="B106" t="s">
        <v>124</v>
      </c>
      <c r="C106" t="s">
        <v>125</v>
      </c>
      <c r="D106" t="s">
        <v>124</v>
      </c>
      <c r="E106" t="s">
        <v>125</v>
      </c>
      <c r="F106" t="s">
        <v>3278</v>
      </c>
      <c r="G106" t="s">
        <v>123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5288"/>
    <col min="2" max="2" width="84.28515625" style="5288" customWidth="1"/>
    <col min="3" max="3" width="9.140625" style="5288"/>
  </cols>
  <sheetData>
    <row r="1" spans="1:3" ht="11.25" customHeight="1">
      <c r="A1" s="767" t="s">
        <v>3540</v>
      </c>
      <c r="B1" s="767" t="s">
        <v>3541</v>
      </c>
      <c r="C1" s="767" t="s">
        <v>1264</v>
      </c>
    </row>
    <row r="2" spans="1:3" ht="11.25" customHeight="1">
      <c r="A2" s="767">
        <v>4189678</v>
      </c>
      <c r="B2" s="767" t="s">
        <v>3542</v>
      </c>
      <c r="C2" s="767" t="s">
        <v>3543</v>
      </c>
    </row>
    <row r="3" spans="1:3" ht="11.25" customHeight="1">
      <c r="A3" s="767">
        <v>4190415</v>
      </c>
      <c r="B3" s="767" t="s">
        <v>3544</v>
      </c>
      <c r="C3" s="767" t="s">
        <v>3543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5290" customWidth="1"/>
    <col min="2" max="5" width="9.140625" style="5290"/>
  </cols>
  <sheetData>
    <row r="1" spans="1:5" ht="15" customHeight="1">
      <c r="A1" s="101" t="s">
        <v>3545</v>
      </c>
      <c r="B1" s="101" t="s">
        <v>3546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3547</v>
      </c>
      <c r="B1" t="b">
        <v>1</v>
      </c>
    </row>
    <row r="2" spans="1:2" ht="11.25" customHeight="1">
      <c r="A2" t="s">
        <v>3548</v>
      </c>
      <c r="B2" t="b">
        <v>0</v>
      </c>
    </row>
    <row r="3" spans="1:2" ht="11.25" customHeight="1">
      <c r="A3" t="s">
        <v>3549</v>
      </c>
      <c r="B3" t="b">
        <v>0</v>
      </c>
    </row>
    <row r="4" spans="1:2" ht="11.25" customHeight="1">
      <c r="A4" t="s">
        <v>3550</v>
      </c>
      <c r="B4" t="b">
        <v>0</v>
      </c>
    </row>
    <row r="5" spans="1:2" ht="11.25" customHeight="1">
      <c r="A5" t="s">
        <v>3551</v>
      </c>
      <c r="B5" t="b">
        <v>1</v>
      </c>
    </row>
    <row r="6" spans="1:2" ht="11.25" customHeight="1">
      <c r="A6" t="s">
        <v>3552</v>
      </c>
      <c r="B6" t="b">
        <v>0</v>
      </c>
    </row>
    <row r="7" spans="1:2" ht="11.25" customHeight="1">
      <c r="A7" t="s">
        <v>3553</v>
      </c>
      <c r="B7" t="b">
        <v>0</v>
      </c>
    </row>
    <row r="8" spans="1:2" ht="11.25" customHeight="1">
      <c r="A8" t="s">
        <v>3554</v>
      </c>
      <c r="B8" t="b">
        <v>0</v>
      </c>
    </row>
    <row r="9" spans="1:2" ht="11.25" customHeight="1">
      <c r="A9" t="s">
        <v>3555</v>
      </c>
      <c r="B9" t="b">
        <v>0</v>
      </c>
    </row>
    <row r="10" spans="1:2" ht="11.25" customHeight="1">
      <c r="A10" t="s">
        <v>3556</v>
      </c>
      <c r="B10" t="b">
        <v>0</v>
      </c>
    </row>
    <row r="11" spans="1:2" ht="11.25" customHeight="1">
      <c r="A11" t="s">
        <v>3557</v>
      </c>
      <c r="B11" t="b">
        <v>0</v>
      </c>
    </row>
    <row r="12" spans="1:2" ht="11.25" customHeight="1">
      <c r="A12" t="s">
        <v>3558</v>
      </c>
      <c r="B12" t="b">
        <v>0</v>
      </c>
    </row>
    <row r="13" spans="1:2" ht="11.25" customHeight="1">
      <c r="A13" t="s">
        <v>3559</v>
      </c>
      <c r="B13" t="b">
        <v>0</v>
      </c>
    </row>
    <row r="14" spans="1:2" ht="11.25" customHeight="1">
      <c r="A14" t="s">
        <v>3560</v>
      </c>
      <c r="B14" t="b">
        <v>1</v>
      </c>
    </row>
    <row r="15" spans="1:2" ht="11.25" customHeight="1">
      <c r="A15" t="s">
        <v>3561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4263"/>
  </cols>
  <sheetData>
    <row r="1" spans="1:1" ht="12.75" customHeight="1">
      <c r="A1" s="5"/>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4278" customWidth="1"/>
    <col min="2" max="2" width="21.140625" style="4278" customWidth="1"/>
  </cols>
  <sheetData>
    <row r="1" spans="1:2" ht="11.25" customHeight="1">
      <c r="A1" s="8" t="s">
        <v>3562</v>
      </c>
      <c r="B1" s="8" t="s">
        <v>3563</v>
      </c>
    </row>
    <row r="2" spans="1:2" ht="11.25" customHeight="1">
      <c r="A2" s="4" t="s">
        <v>3564</v>
      </c>
      <c r="B2" s="4" t="s">
        <v>3565</v>
      </c>
    </row>
    <row r="3" spans="1:2" ht="11.25" customHeight="1">
      <c r="A3" s="4" t="s">
        <v>3566</v>
      </c>
      <c r="B3" s="4" t="s">
        <v>3567</v>
      </c>
    </row>
    <row r="4" spans="1:2" ht="11.25" customHeight="1">
      <c r="A4" s="4" t="s">
        <v>3568</v>
      </c>
      <c r="B4" s="4" t="s">
        <v>3569</v>
      </c>
    </row>
    <row r="5" spans="1:2" ht="11.25" customHeight="1">
      <c r="A5" s="4" t="s">
        <v>3570</v>
      </c>
      <c r="B5" s="4" t="s">
        <v>3571</v>
      </c>
    </row>
    <row r="6" spans="1:2" ht="11.25" customHeight="1">
      <c r="A6" s="4" t="s">
        <v>3572</v>
      </c>
      <c r="B6" s="4" t="s">
        <v>3573</v>
      </c>
    </row>
    <row r="7" spans="1:2" ht="11.25" customHeight="1">
      <c r="A7" s="4" t="s">
        <v>3574</v>
      </c>
      <c r="B7" s="4" t="s">
        <v>3575</v>
      </c>
    </row>
    <row r="8" spans="1:2" ht="11.25" customHeight="1">
      <c r="A8" s="4" t="s">
        <v>3576</v>
      </c>
      <c r="B8" s="4" t="s">
        <v>3577</v>
      </c>
    </row>
    <row r="9" spans="1:2" ht="11.25" customHeight="1">
      <c r="A9" s="4" t="s">
        <v>3578</v>
      </c>
      <c r="B9" s="4" t="s">
        <v>3579</v>
      </c>
    </row>
    <row r="10" spans="1:2" ht="11.25" customHeight="1">
      <c r="A10" s="4" t="s">
        <v>3580</v>
      </c>
      <c r="B10" s="4" t="s">
        <v>3581</v>
      </c>
    </row>
    <row r="11" spans="1:2" ht="11.25" customHeight="1">
      <c r="A11" s="4" t="s">
        <v>3582</v>
      </c>
      <c r="B11" s="4" t="s">
        <v>3583</v>
      </c>
    </row>
    <row r="12" spans="1:2" ht="11.25" customHeight="1">
      <c r="A12" s="4" t="s">
        <v>3584</v>
      </c>
      <c r="B12" s="4" t="s">
        <v>3585</v>
      </c>
    </row>
    <row r="13" spans="1:2" ht="11.25" customHeight="1">
      <c r="A13" s="4" t="s">
        <v>3586</v>
      </c>
      <c r="B13" s="4" t="s">
        <v>3587</v>
      </c>
    </row>
    <row r="14" spans="1:2" ht="11.25" customHeight="1">
      <c r="A14" s="4" t="s">
        <v>3588</v>
      </c>
      <c r="B14" s="4" t="s">
        <v>3589</v>
      </c>
    </row>
    <row r="15" spans="1:2" ht="11.25" customHeight="1">
      <c r="A15" s="4" t="s">
        <v>3590</v>
      </c>
      <c r="B15" s="4" t="s">
        <v>3591</v>
      </c>
    </row>
    <row r="16" spans="1:2" ht="11.25" customHeight="1">
      <c r="A16" s="4" t="s">
        <v>3592</v>
      </c>
      <c r="B16" s="4" t="s">
        <v>3593</v>
      </c>
    </row>
    <row r="17" spans="1:2" ht="11.25" customHeight="1">
      <c r="A17" s="4" t="s">
        <v>3594</v>
      </c>
      <c r="B17" s="4" t="s">
        <v>3595</v>
      </c>
    </row>
    <row r="18" spans="1:2" ht="11.25" customHeight="1">
      <c r="A18" s="4" t="s">
        <v>3596</v>
      </c>
      <c r="B18" s="4" t="s">
        <v>3597</v>
      </c>
    </row>
    <row r="19" spans="1:2" ht="11.25" customHeight="1">
      <c r="A19" s="4" t="s">
        <v>3598</v>
      </c>
      <c r="B19" s="4" t="s">
        <v>3599</v>
      </c>
    </row>
    <row r="20" spans="1:2" ht="11.25" customHeight="1">
      <c r="A20" s="4" t="s">
        <v>3600</v>
      </c>
      <c r="B20" s="4" t="s">
        <v>3601</v>
      </c>
    </row>
    <row r="21" spans="1:2" ht="11.25" customHeight="1">
      <c r="A21" s="4" t="s">
        <v>3602</v>
      </c>
      <c r="B21" s="4" t="s">
        <v>3603</v>
      </c>
    </row>
    <row r="22" spans="1:2" ht="11.25" customHeight="1">
      <c r="A22" s="4" t="s">
        <v>3604</v>
      </c>
      <c r="B22" s="4" t="s">
        <v>3605</v>
      </c>
    </row>
    <row r="23" spans="1:2" ht="11.25" customHeight="1">
      <c r="A23" s="4" t="s">
        <v>3606</v>
      </c>
      <c r="B23" s="4" t="s">
        <v>3607</v>
      </c>
    </row>
    <row r="24" spans="1:2" ht="11.25" customHeight="1">
      <c r="A24" s="4" t="s">
        <v>3608</v>
      </c>
      <c r="B24" s="4" t="s">
        <v>3609</v>
      </c>
    </row>
    <row r="25" spans="1:2" ht="11.25" customHeight="1">
      <c r="A25" s="4" t="s">
        <v>3610</v>
      </c>
      <c r="B25" s="4" t="s">
        <v>3611</v>
      </c>
    </row>
    <row r="26" spans="1:2" ht="11.25" customHeight="1">
      <c r="A26" s="4" t="s">
        <v>3612</v>
      </c>
      <c r="B26" s="4" t="s">
        <v>3613</v>
      </c>
    </row>
    <row r="27" spans="1:2" ht="11.25" customHeight="1">
      <c r="A27" s="4" t="s">
        <v>3614</v>
      </c>
      <c r="B27" s="4" t="s">
        <v>3615</v>
      </c>
    </row>
    <row r="28" spans="1:2" ht="11.25" customHeight="1">
      <c r="A28" s="4" t="s">
        <v>3616</v>
      </c>
      <c r="B28" s="4" t="s">
        <v>3617</v>
      </c>
    </row>
    <row r="29" spans="1:2" ht="11.25" customHeight="1">
      <c r="A29" s="4" t="s">
        <v>3618</v>
      </c>
      <c r="B29" s="4" t="s">
        <v>3619</v>
      </c>
    </row>
    <row r="30" spans="1:2" ht="11.25" customHeight="1">
      <c r="A30" s="4" t="s">
        <v>3620</v>
      </c>
      <c r="B30" s="4" t="s">
        <v>3621</v>
      </c>
    </row>
    <row r="31" spans="1:2" ht="11.25" customHeight="1">
      <c r="A31" s="4" t="s">
        <v>3622</v>
      </c>
      <c r="B31" s="4" t="s">
        <v>3623</v>
      </c>
    </row>
    <row r="32" spans="1:2" ht="11.25" customHeight="1">
      <c r="A32" s="4" t="s">
        <v>3624</v>
      </c>
      <c r="B32" s="4" t="s">
        <v>3625</v>
      </c>
    </row>
    <row r="33" spans="1:2" ht="11.25" customHeight="1">
      <c r="A33" s="4" t="s">
        <v>3626</v>
      </c>
      <c r="B33" s="4" t="s">
        <v>3627</v>
      </c>
    </row>
    <row r="34" spans="1:2" ht="11.25" customHeight="1">
      <c r="A34" s="4" t="s">
        <v>3628</v>
      </c>
      <c r="B34" s="4" t="s">
        <v>3629</v>
      </c>
    </row>
    <row r="35" spans="1:2" ht="11.25" customHeight="1">
      <c r="A35" s="4" t="s">
        <v>3630</v>
      </c>
      <c r="B35" s="4" t="s">
        <v>3631</v>
      </c>
    </row>
    <row r="36" spans="1:2" ht="11.25" customHeight="1">
      <c r="A36" s="4" t="s">
        <v>3632</v>
      </c>
      <c r="B36" s="4" t="s">
        <v>3633</v>
      </c>
    </row>
    <row r="37" spans="1:2" ht="11.25" customHeight="1">
      <c r="A37" s="4" t="s">
        <v>3634</v>
      </c>
      <c r="B37" s="4" t="s">
        <v>3635</v>
      </c>
    </row>
    <row r="38" spans="1:2" ht="11.25" customHeight="1">
      <c r="A38" s="4" t="s">
        <v>3636</v>
      </c>
      <c r="B38" s="4" t="s">
        <v>3637</v>
      </c>
    </row>
    <row r="39" spans="1:2" ht="11.25" customHeight="1">
      <c r="A39" s="4" t="s">
        <v>3638</v>
      </c>
      <c r="B39" s="4" t="s">
        <v>3639</v>
      </c>
    </row>
    <row r="40" spans="1:2" ht="11.25" customHeight="1">
      <c r="A40" s="4" t="s">
        <v>3640</v>
      </c>
      <c r="B40" s="4" t="s">
        <v>3641</v>
      </c>
    </row>
    <row r="41" spans="1:2" ht="11.25" customHeight="1">
      <c r="A41" s="4" t="s">
        <v>3642</v>
      </c>
      <c r="B41" s="4" t="s">
        <v>3643</v>
      </c>
    </row>
    <row r="42" spans="1:2" ht="11.25" customHeight="1">
      <c r="A42" s="4" t="s">
        <v>3644</v>
      </c>
      <c r="B42" s="4" t="s">
        <v>3645</v>
      </c>
    </row>
    <row r="43" spans="1:2" ht="11.25" customHeight="1">
      <c r="A43" s="4" t="s">
        <v>3646</v>
      </c>
      <c r="B43" s="4" t="s">
        <v>3647</v>
      </c>
    </row>
    <row r="44" spans="1:2" ht="11.25" customHeight="1">
      <c r="A44" s="4" t="s">
        <v>3648</v>
      </c>
      <c r="B44" s="4" t="s">
        <v>3649</v>
      </c>
    </row>
    <row r="45" spans="1:2" ht="11.25" customHeight="1">
      <c r="A45" s="4" t="s">
        <v>3650</v>
      </c>
      <c r="B45" s="4" t="s">
        <v>3651</v>
      </c>
    </row>
    <row r="46" spans="1:2" ht="11.25" customHeight="1">
      <c r="A46" s="4" t="s">
        <v>3652</v>
      </c>
      <c r="B46" s="4" t="s">
        <v>3653</v>
      </c>
    </row>
    <row r="47" spans="1:2" ht="11.25" customHeight="1">
      <c r="A47" s="4" t="s">
        <v>3654</v>
      </c>
      <c r="B47" s="4" t="s">
        <v>3655</v>
      </c>
    </row>
    <row r="48" spans="1:2" ht="11.25" customHeight="1">
      <c r="A48" s="4" t="s">
        <v>3656</v>
      </c>
      <c r="B48" s="4" t="s">
        <v>3657</v>
      </c>
    </row>
    <row r="49" spans="1:2" ht="11.25" customHeight="1">
      <c r="A49" s="4" t="s">
        <v>3658</v>
      </c>
      <c r="B49" s="4" t="s">
        <v>3659</v>
      </c>
    </row>
    <row r="50" spans="1:2" ht="11.25" customHeight="1">
      <c r="A50" s="4" t="s">
        <v>3660</v>
      </c>
      <c r="B50" s="4" t="s">
        <v>3661</v>
      </c>
    </row>
    <row r="51" spans="1:2" ht="11.25" customHeight="1">
      <c r="A51" s="4" t="s">
        <v>3662</v>
      </c>
      <c r="B51" s="4" t="s">
        <v>3663</v>
      </c>
    </row>
    <row r="52" spans="1:2" ht="11.25" customHeight="1">
      <c r="A52" s="4" t="s">
        <v>3664</v>
      </c>
      <c r="B52" s="4" t="s">
        <v>3665</v>
      </c>
    </row>
    <row r="53" spans="1:2" ht="11.25" customHeight="1">
      <c r="A53" s="4" t="s">
        <v>3666</v>
      </c>
      <c r="B53" s="4" t="s">
        <v>3667</v>
      </c>
    </row>
    <row r="54" spans="1:2" ht="11.25" customHeight="1">
      <c r="A54" s="4" t="s">
        <v>3668</v>
      </c>
      <c r="B54" s="4" t="s">
        <v>3669</v>
      </c>
    </row>
    <row r="55" spans="1:2" ht="11.25" customHeight="1">
      <c r="A55" s="4" t="s">
        <v>3670</v>
      </c>
      <c r="B55" s="4" t="s">
        <v>3671</v>
      </c>
    </row>
    <row r="56" spans="1:2" ht="11.25" customHeight="1">
      <c r="A56" s="4" t="s">
        <v>3672</v>
      </c>
      <c r="B56" s="4" t="s">
        <v>3673</v>
      </c>
    </row>
    <row r="57" spans="1:2" ht="11.25" customHeight="1">
      <c r="A57" s="4" t="s">
        <v>3674</v>
      </c>
      <c r="B57" s="4" t="s">
        <v>3675</v>
      </c>
    </row>
    <row r="58" spans="1:2" ht="11.25" customHeight="1">
      <c r="A58" s="4" t="s">
        <v>3676</v>
      </c>
      <c r="B58" s="4" t="s">
        <v>3677</v>
      </c>
    </row>
    <row r="59" spans="1:2" ht="11.25" customHeight="1">
      <c r="A59" s="4" t="s">
        <v>3678</v>
      </c>
      <c r="B59" s="4" t="s">
        <v>3679</v>
      </c>
    </row>
    <row r="60" spans="1:2" ht="11.25" customHeight="1">
      <c r="A60" s="4" t="s">
        <v>3680</v>
      </c>
      <c r="B60" s="4" t="s">
        <v>3681</v>
      </c>
    </row>
    <row r="61" spans="1:2" ht="11.25" customHeight="1">
      <c r="A61" s="4"/>
      <c r="B61" s="4" t="s">
        <v>3682</v>
      </c>
    </row>
    <row r="62" spans="1:2" ht="11.25" customHeight="1">
      <c r="A62" s="4"/>
      <c r="B62" s="4" t="s">
        <v>3683</v>
      </c>
    </row>
    <row r="63" spans="1:2" ht="11.25" customHeight="1">
      <c r="A63" s="4"/>
      <c r="B63" s="4" t="s">
        <v>3684</v>
      </c>
    </row>
    <row r="64" spans="1:2" ht="11.25" customHeight="1">
      <c r="A64" s="4"/>
      <c r="B64" s="4" t="s">
        <v>3685</v>
      </c>
    </row>
    <row r="65" spans="1:2" ht="11.25" customHeight="1">
      <c r="A65" s="4"/>
      <c r="B65" s="4" t="s">
        <v>3686</v>
      </c>
    </row>
    <row r="66" spans="1:2" ht="11.25" customHeight="1">
      <c r="A66" s="4"/>
      <c r="B66" s="4" t="s">
        <v>3687</v>
      </c>
    </row>
    <row r="67" spans="1:2" ht="11.25" customHeight="1">
      <c r="A67" s="4"/>
      <c r="B67" s="4" t="s">
        <v>3688</v>
      </c>
    </row>
    <row r="68" spans="1:2" ht="11.25" customHeight="1">
      <c r="A68" s="4"/>
      <c r="B68" s="4" t="s">
        <v>3689</v>
      </c>
    </row>
    <row r="69" spans="1:2" ht="11.25" customHeight="1">
      <c r="A69" s="4"/>
      <c r="B69" s="4" t="s">
        <v>3690</v>
      </c>
    </row>
    <row r="70" spans="1:2" ht="11.25" customHeight="1">
      <c r="A70" s="4"/>
      <c r="B70" s="4" t="s">
        <v>3691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4278" customWidth="1"/>
    <col min="2" max="2" width="90.7109375" style="4278" customWidth="1"/>
    <col min="3" max="4" width="9.140625" style="4278"/>
  </cols>
  <sheetData>
    <row r="1" spans="2:4" ht="11.25" customHeight="1">
      <c r="B1" s="34" t="s">
        <v>3692</v>
      </c>
    </row>
    <row r="2" spans="2:4" ht="90" customHeight="1">
      <c r="B2" s="35" t="s">
        <v>3693</v>
      </c>
    </row>
    <row r="3" spans="2:4" ht="67.5" customHeight="1">
      <c r="B3" s="35" t="s">
        <v>3694</v>
      </c>
    </row>
    <row r="4" spans="2:4" ht="33.75" customHeight="1">
      <c r="B4" s="35" t="s">
        <v>3695</v>
      </c>
    </row>
    <row r="5" spans="2:4" ht="11.25" customHeight="1">
      <c r="B5" s="35" t="s">
        <v>3696</v>
      </c>
    </row>
    <row r="6" spans="2:4" ht="22.5" customHeight="1">
      <c r="B6" s="35" t="s">
        <v>3697</v>
      </c>
    </row>
    <row r="7" spans="2:4" ht="22.5" customHeight="1">
      <c r="B7" s="35" t="s">
        <v>3698</v>
      </c>
    </row>
    <row r="8" spans="2:4" ht="22.5" customHeight="1">
      <c r="B8" s="35" t="s">
        <v>3699</v>
      </c>
    </row>
    <row r="9" spans="2:4" ht="22.5" customHeight="1">
      <c r="B9" s="35" t="s">
        <v>3700</v>
      </c>
    </row>
    <row r="10" spans="2:4" ht="56.25" customHeight="1">
      <c r="B10" s="35" t="s">
        <v>3701</v>
      </c>
    </row>
    <row r="11" spans="2:4" ht="12.75" customHeight="1">
      <c r="B11" s="98" t="s">
        <v>3702</v>
      </c>
    </row>
    <row r="12" spans="2:4" ht="11.25" customHeight="1">
      <c r="B12" s="34" t="s">
        <v>3703</v>
      </c>
    </row>
    <row r="13" spans="2:4" ht="22.5" customHeight="1">
      <c r="B13" s="35" t="s">
        <v>3704</v>
      </c>
    </row>
    <row r="14" spans="2:4" ht="67.5" customHeight="1">
      <c r="B14" s="35" t="s">
        <v>3705</v>
      </c>
    </row>
    <row r="15" spans="2:4" ht="22.5" customHeight="1">
      <c r="B15" s="35" t="s">
        <v>3706</v>
      </c>
    </row>
    <row r="16" spans="2:4" ht="11.25" customHeight="1">
      <c r="B16" s="34" t="s">
        <v>3707</v>
      </c>
      <c r="D16" s="41"/>
    </row>
    <row r="17" spans="1:2" ht="33.75" customHeight="1">
      <c r="B17" s="35" t="s">
        <v>3708</v>
      </c>
    </row>
    <row r="18" spans="1:2" ht="33.75" customHeight="1">
      <c r="B18" s="35" t="s">
        <v>3709</v>
      </c>
    </row>
    <row r="19" spans="1:2" ht="11.25" customHeight="1">
      <c r="B19" s="35" t="s">
        <v>3710</v>
      </c>
    </row>
    <row r="20" spans="1:2" ht="33.75" customHeight="1">
      <c r="B20" s="35" t="s">
        <v>3711</v>
      </c>
    </row>
    <row r="21" spans="1:2" ht="11.25" customHeight="1">
      <c r="B21" s="34" t="s">
        <v>3712</v>
      </c>
    </row>
    <row r="22" spans="1:2" ht="11.25" customHeight="1">
      <c r="B22" s="35" t="s">
        <v>3713</v>
      </c>
    </row>
    <row r="24" spans="1:2" ht="22.5" customHeight="1">
      <c r="B24" s="100" t="s">
        <v>3714</v>
      </c>
    </row>
    <row r="26" spans="1:2" ht="11.25" customHeight="1">
      <c r="B26" s="34" t="s">
        <v>3715</v>
      </c>
    </row>
    <row r="27" spans="1:2" ht="22.5" customHeight="1">
      <c r="B27" s="99" t="s">
        <v>489</v>
      </c>
    </row>
    <row r="28" spans="1:2" ht="56.25" customHeight="1">
      <c r="B28" s="99" t="s">
        <v>3716</v>
      </c>
    </row>
    <row r="29" spans="1:2" ht="11.25" customHeight="1">
      <c r="B29" s="148" t="s">
        <v>3717</v>
      </c>
    </row>
    <row r="30" spans="1:2" ht="22.5" customHeight="1">
      <c r="B30" s="99" t="s">
        <v>3718</v>
      </c>
    </row>
    <row r="32" spans="1:2" ht="11.25" customHeight="1">
      <c r="A32" s="126"/>
      <c r="B32" s="127" t="s">
        <v>3719</v>
      </c>
    </row>
    <row r="33" spans="1:2" ht="14.25" customHeight="1">
      <c r="A33" s="128">
        <v>1</v>
      </c>
      <c r="B33" s="129" t="s">
        <v>3720</v>
      </c>
    </row>
    <row r="34" spans="1:2" ht="14.25" customHeight="1">
      <c r="A34" s="128">
        <v>2</v>
      </c>
      <c r="B34" s="129" t="s">
        <v>3721</v>
      </c>
    </row>
    <row r="35" spans="1:2" ht="11.25" customHeight="1">
      <c r="B35" s="127" t="s">
        <v>3722</v>
      </c>
    </row>
    <row r="36" spans="1:2" ht="11.25" customHeight="1">
      <c r="B36" s="129" t="s">
        <v>3723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4265" hidden="1" customWidth="1"/>
    <col min="2" max="2" width="9.140625" style="4267" hidden="1" customWidth="1"/>
    <col min="3" max="3" width="3" style="4280" customWidth="1"/>
    <col min="4" max="4" width="5" style="4267" customWidth="1"/>
    <col min="5" max="5" width="38" style="4267" customWidth="1"/>
    <col min="6" max="7" width="3" style="4267" customWidth="1"/>
    <col min="8" max="8" width="38" style="4267" customWidth="1"/>
    <col min="9" max="9" width="35" style="4267" customWidth="1"/>
    <col min="10" max="10" width="103" style="4267" customWidth="1"/>
    <col min="11" max="11" width="3" style="4277" customWidth="1"/>
    <col min="12" max="14" width="10" style="4275" customWidth="1"/>
    <col min="15" max="15" width="13" style="4275" customWidth="1"/>
    <col min="16" max="16" width="15" style="4275" customWidth="1"/>
    <col min="17" max="17" width="16" style="4275" customWidth="1"/>
    <col min="18" max="21" width="10" style="4275" customWidth="1"/>
    <col min="22" max="22" width="10.5703125" style="4267" hidden="1"/>
  </cols>
  <sheetData>
    <row r="1" spans="1:22" ht="22.5" hidden="1" customHeight="1">
      <c r="E1" s="350"/>
      <c r="F1" s="350"/>
      <c r="G1" s="350"/>
      <c r="H1" s="5316" t="s">
        <v>445</v>
      </c>
      <c r="I1" s="5316"/>
      <c r="V1" s="1528" t="s">
        <v>14</v>
      </c>
    </row>
    <row r="2" spans="1:22" s="4267" customFormat="1" ht="14.25" hidden="1" customHeight="1">
      <c r="C2" s="1540"/>
      <c r="D2" s="5451" t="s">
        <v>136</v>
      </c>
      <c r="E2" s="5453"/>
      <c r="F2" s="1546"/>
      <c r="G2" s="1541" t="s">
        <v>136</v>
      </c>
      <c r="H2" s="1544"/>
      <c r="I2" s="1542"/>
      <c r="L2" s="1543"/>
      <c r="M2" s="1543"/>
      <c r="N2" s="1543"/>
      <c r="O2" s="1543" t="s">
        <v>475</v>
      </c>
      <c r="P2" s="1543"/>
      <c r="Q2" s="1543"/>
      <c r="R2" s="1545" t="s">
        <v>474</v>
      </c>
      <c r="S2" s="1545" t="s">
        <v>474</v>
      </c>
      <c r="T2" s="1543"/>
      <c r="U2" s="1543"/>
      <c r="V2" s="1539">
        <v>0</v>
      </c>
    </row>
    <row r="3" spans="1:22" s="4267" customFormat="1" ht="14.25" hidden="1" customHeight="1">
      <c r="C3" s="1540"/>
      <c r="D3" s="5452"/>
      <c r="E3" s="5454"/>
      <c r="F3" s="343"/>
      <c r="G3" s="797"/>
      <c r="H3" s="797" t="s">
        <v>476</v>
      </c>
      <c r="I3" s="251"/>
      <c r="L3" s="1543"/>
      <c r="M3" s="1543"/>
      <c r="N3" s="1543"/>
      <c r="O3" s="1543"/>
      <c r="P3" s="1543"/>
      <c r="Q3" s="1543"/>
      <c r="R3" s="1545"/>
      <c r="S3" s="1545"/>
      <c r="T3" s="1543"/>
      <c r="U3" s="1543"/>
      <c r="V3" s="1539">
        <v>0</v>
      </c>
    </row>
    <row r="4" spans="1:22" ht="14.25" hidden="1" customHeight="1">
      <c r="V4" s="1528">
        <v>0</v>
      </c>
    </row>
    <row r="5" spans="1:22" s="4298" customFormat="1" ht="5.25" customHeight="1">
      <c r="C5" s="639"/>
      <c r="D5" s="640"/>
      <c r="E5" s="640"/>
      <c r="F5" s="640"/>
      <c r="G5" s="640"/>
      <c r="H5" s="640" t="s">
        <v>449</v>
      </c>
      <c r="I5" s="640"/>
      <c r="J5" s="640"/>
      <c r="L5" s="1535"/>
      <c r="M5" s="1535"/>
      <c r="N5" s="1535"/>
      <c r="O5" s="1535"/>
      <c r="P5" s="1535"/>
      <c r="Q5" s="1535"/>
      <c r="R5" s="1535"/>
      <c r="S5" s="1535"/>
      <c r="T5" s="1535"/>
      <c r="U5" s="1535"/>
      <c r="V5" s="1534">
        <v>5</v>
      </c>
    </row>
    <row r="6" spans="1:22" ht="29.25" customHeight="1">
      <c r="C6" s="1437"/>
      <c r="D6" s="5450" t="s">
        <v>477</v>
      </c>
      <c r="E6" s="5450"/>
      <c r="F6" s="5450"/>
      <c r="G6" s="5450"/>
      <c r="H6" s="5450"/>
      <c r="I6" s="5450"/>
      <c r="J6" s="429"/>
      <c r="K6" s="1536"/>
      <c r="V6" s="1528">
        <v>28</v>
      </c>
    </row>
    <row r="7" spans="1:22" ht="18" customHeight="1">
      <c r="C7" s="1437"/>
      <c r="D7" s="5423" t="str">
        <f>IF(org=0,"Не определено",org)</f>
        <v>КГУП "Примтеплоэнерго"</v>
      </c>
      <c r="E7" s="5423"/>
      <c r="F7" s="5423"/>
      <c r="G7" s="5423"/>
      <c r="H7" s="5423"/>
      <c r="I7" s="5423"/>
      <c r="J7" s="429"/>
      <c r="K7" s="1536"/>
      <c r="V7" s="1528">
        <v>17</v>
      </c>
    </row>
    <row r="8" spans="1:22" s="4266" customFormat="1" ht="5.25" customHeight="1">
      <c r="A8" s="1532"/>
      <c r="C8" s="424"/>
      <c r="D8" s="423"/>
      <c r="E8" s="423"/>
      <c r="F8" s="423"/>
      <c r="G8" s="423"/>
      <c r="H8" s="423"/>
      <c r="I8" s="423"/>
      <c r="J8" s="423"/>
      <c r="L8" s="1535"/>
      <c r="M8" s="1535"/>
      <c r="N8" s="1535"/>
      <c r="O8" s="1535"/>
      <c r="P8" s="1535"/>
      <c r="Q8" s="1535"/>
      <c r="R8" s="1535"/>
      <c r="S8" s="1535"/>
      <c r="T8" s="1535"/>
      <c r="U8" s="1535"/>
      <c r="V8" s="1533">
        <v>5</v>
      </c>
    </row>
    <row r="9" spans="1:22" s="4266" customFormat="1" ht="5.25" customHeight="1">
      <c r="A9" s="1532"/>
      <c r="C9" s="424"/>
      <c r="D9" s="423"/>
      <c r="E9" s="423"/>
      <c r="F9" s="423"/>
      <c r="G9" s="423"/>
      <c r="H9" s="423"/>
      <c r="I9" s="423"/>
      <c r="J9" s="423"/>
      <c r="L9" s="1543"/>
      <c r="M9" s="1543"/>
      <c r="N9" s="1543"/>
      <c r="O9" s="1543"/>
      <c r="P9" s="1543"/>
      <c r="Q9" s="1543"/>
      <c r="R9" s="1543"/>
      <c r="S9" s="1543"/>
      <c r="T9" s="1543"/>
      <c r="U9" s="1543"/>
      <c r="V9" s="1533">
        <v>5</v>
      </c>
    </row>
    <row r="10" spans="1:22" ht="14.65" customHeight="1">
      <c r="C10" s="1437"/>
      <c r="D10" s="5436" t="s">
        <v>393</v>
      </c>
      <c r="E10" s="5448"/>
      <c r="F10" s="5448"/>
      <c r="G10" s="5448"/>
      <c r="H10" s="5448"/>
      <c r="I10" s="5448"/>
      <c r="J10" s="5390" t="s">
        <v>394</v>
      </c>
      <c r="V10" s="1528">
        <v>14</v>
      </c>
    </row>
    <row r="11" spans="1:22" ht="27.4" customHeight="1">
      <c r="C11" s="1437"/>
      <c r="D11" s="5328" t="s">
        <v>88</v>
      </c>
      <c r="E11" s="5390" t="s">
        <v>141</v>
      </c>
      <c r="F11" s="5404" t="s">
        <v>88</v>
      </c>
      <c r="G11" s="5405"/>
      <c r="H11" s="5403" t="s">
        <v>478</v>
      </c>
      <c r="I11" s="5403" t="s">
        <v>479</v>
      </c>
      <c r="J11" s="5390"/>
      <c r="V11" s="1528">
        <v>26</v>
      </c>
    </row>
    <row r="12" spans="1:22" ht="14.65" customHeight="1">
      <c r="C12" s="1437"/>
      <c r="D12" s="5328"/>
      <c r="E12" s="5390"/>
      <c r="F12" s="5409"/>
      <c r="G12" s="5410"/>
      <c r="H12" s="5455"/>
      <c r="I12" s="5455"/>
      <c r="J12" s="5390"/>
      <c r="V12" s="1528">
        <v>14</v>
      </c>
    </row>
    <row r="13" spans="1:22" s="4299" customFormat="1" ht="11.25" hidden="1" customHeight="1">
      <c r="C13" s="436"/>
      <c r="D13" s="437" t="s">
        <v>469</v>
      </c>
      <c r="E13" s="437"/>
      <c r="F13" s="437"/>
      <c r="G13" s="437"/>
      <c r="H13" s="435"/>
      <c r="I13" s="435"/>
      <c r="J13" s="373"/>
      <c r="L13" s="1535"/>
      <c r="M13" s="1535"/>
      <c r="N13" s="1535"/>
      <c r="O13" s="1535"/>
      <c r="P13" s="1535"/>
      <c r="Q13" s="1535"/>
      <c r="R13" s="1535"/>
      <c r="S13" s="1535"/>
      <c r="T13" s="1535"/>
      <c r="U13" s="1535"/>
      <c r="V13" s="434">
        <v>0</v>
      </c>
    </row>
    <row r="14" spans="1:22" ht="14.65" customHeight="1">
      <c r="A14" s="1528"/>
      <c r="C14" s="1437"/>
      <c r="D14" s="5451" t="s">
        <v>136</v>
      </c>
      <c r="E14" s="5453"/>
      <c r="F14" s="1538"/>
      <c r="G14" s="1537" t="s">
        <v>136</v>
      </c>
      <c r="H14" s="1544"/>
      <c r="I14" s="1542"/>
      <c r="J14" s="5377" t="s">
        <v>480</v>
      </c>
      <c r="K14" s="1528"/>
      <c r="R14" s="438" t="s">
        <v>474</v>
      </c>
      <c r="S14" s="438" t="s">
        <v>474</v>
      </c>
      <c r="V14" s="1528">
        <v>14</v>
      </c>
    </row>
    <row r="15" spans="1:22" ht="14.65" customHeight="1">
      <c r="A15" s="1528"/>
      <c r="C15" s="1437"/>
      <c r="D15" s="5452"/>
      <c r="E15" s="5454"/>
      <c r="F15" s="343"/>
      <c r="G15" s="797"/>
      <c r="H15" s="797" t="s">
        <v>476</v>
      </c>
      <c r="I15" s="251"/>
      <c r="J15" s="5378"/>
      <c r="K15" s="1528"/>
      <c r="R15" s="438"/>
      <c r="S15" s="438"/>
      <c r="V15" s="1528">
        <v>14</v>
      </c>
    </row>
    <row r="16" spans="1:22" ht="14.65" customHeight="1">
      <c r="A16" s="1528"/>
      <c r="C16" s="1437"/>
      <c r="D16" s="343"/>
      <c r="E16" s="797" t="s">
        <v>153</v>
      </c>
      <c r="F16" s="251"/>
      <c r="G16" s="251"/>
      <c r="H16" s="344"/>
      <c r="I16" s="344"/>
      <c r="J16" s="5379"/>
      <c r="K16" s="1528"/>
      <c r="V16" s="1528">
        <v>14</v>
      </c>
    </row>
    <row r="17" spans="1:22" ht="14.65" customHeight="1">
      <c r="K17" s="1528"/>
      <c r="V17" s="1528">
        <v>14</v>
      </c>
    </row>
    <row r="18" spans="1:22" ht="22.5" hidden="1" customHeight="1">
      <c r="A18" s="1529" t="s">
        <v>82</v>
      </c>
      <c r="B18" s="1528">
        <v>0</v>
      </c>
      <c r="C18" s="389">
        <v>3</v>
      </c>
      <c r="D18" s="1528">
        <v>5</v>
      </c>
      <c r="E18" s="1528">
        <v>38</v>
      </c>
      <c r="F18" s="1528">
        <v>3</v>
      </c>
      <c r="G18" s="1528">
        <v>3</v>
      </c>
      <c r="H18" s="1528">
        <v>38</v>
      </c>
      <c r="I18" s="1528">
        <v>35</v>
      </c>
      <c r="J18" s="1528">
        <v>103</v>
      </c>
      <c r="K18" s="1530">
        <v>3</v>
      </c>
      <c r="L18" s="1535">
        <v>10</v>
      </c>
      <c r="M18" s="1535">
        <v>10</v>
      </c>
      <c r="N18" s="1535">
        <v>10</v>
      </c>
      <c r="O18" s="1535">
        <v>13</v>
      </c>
      <c r="P18" s="1535">
        <v>15</v>
      </c>
      <c r="Q18" s="1535">
        <v>16</v>
      </c>
      <c r="R18" s="1535">
        <v>10</v>
      </c>
      <c r="S18" s="1535">
        <v>10</v>
      </c>
      <c r="T18" s="1535">
        <v>10</v>
      </c>
      <c r="U18" s="1535">
        <v>10</v>
      </c>
      <c r="V18" s="1528">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2233</vt:i4>
      </vt:variant>
    </vt:vector>
  </HeadingPairs>
  <TitlesOfParts>
    <vt:vector size="232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pt_ter_37</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2024-12-23T07:06:34Z</dcterms:modified>
</cp:coreProperties>
</file>